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7545" activeTab="2"/>
  </bookViews>
  <sheets>
    <sheet name="7 кл" sheetId="4" r:id="rId1"/>
    <sheet name="8 кл" sheetId="5" r:id="rId2"/>
    <sheet name="9 кл" sheetId="6" r:id="rId3"/>
    <sheet name="10 кл" sheetId="7" r:id="rId4"/>
    <sheet name="11 кл" sheetId="8" r:id="rId5"/>
    <sheet name="СОШ №2" sheetId="10" state="hidden" r:id="rId6"/>
    <sheet name="СОШ №3" sheetId="11" state="hidden" r:id="rId7"/>
    <sheet name="СОШ №7" sheetId="15" state="hidden" r:id="rId8"/>
    <sheet name="СОШ №12" sheetId="18" state="hidden" r:id="rId9"/>
    <sheet name="СОШ №16" sheetId="21" state="hidden" r:id="rId10"/>
    <sheet name="СОШ №18" sheetId="22" state="hidden" r:id="rId11"/>
    <sheet name="СОШ №20" sheetId="24" state="hidden" r:id="rId12"/>
    <sheet name="СОШ №21" sheetId="25" state="hidden" r:id="rId13"/>
    <sheet name="ООШ №26" sheetId="27" state="hidden" r:id="rId14"/>
    <sheet name="СОШ №29" sheetId="28" state="hidden" r:id="rId15"/>
    <sheet name="СОШ №30 " sheetId="29" state="hidden" r:id="rId16"/>
    <sheet name="СОШ №32" sheetId="31" state="hidden" r:id="rId17"/>
    <sheet name="СОШ №42" sheetId="33" state="hidden" r:id="rId18"/>
    <sheet name="СОШ п. Бурный" sheetId="36" state="hidden" r:id="rId19"/>
    <sheet name="ООШ с. Безымянное" sheetId="38" state="hidden" r:id="rId20"/>
    <sheet name="ООШ п. Взлетный" sheetId="40" state="hidden" r:id="rId21"/>
    <sheet name="СОШ с. Воскресенка" sheetId="41" state="hidden" r:id="rId22"/>
    <sheet name="СОШ с. Генеральское" sheetId="42" state="hidden" r:id="rId23"/>
    <sheet name="СОШ с. Заветное" sheetId="43" state="hidden" r:id="rId24"/>
    <sheet name="СОШ с. Красный Яр" sheetId="45" state="hidden" r:id="rId25"/>
    <sheet name="СОШ с. Квасниковка" sheetId="46" state="hidden" r:id="rId26"/>
    <sheet name="СОШ с. Кирово" sheetId="47" state="hidden" r:id="rId27"/>
    <sheet name="СОШ п.Коминтерн" sheetId="48" state="hidden" r:id="rId28"/>
    <sheet name="ООШ п. Лощинный" sheetId="50" state="hidden" r:id="rId29"/>
    <sheet name="СОШ с. Липовка" sheetId="51" state="hidden" r:id="rId30"/>
    <sheet name="ООШ с. Подстепное" sheetId="55" state="hidden" r:id="rId31"/>
    <sheet name="СОШ п. Пробуждение" sheetId="56" state="hidden" r:id="rId32"/>
    <sheet name="СОШ с. Терновка" sheetId="58" state="hidden" r:id="rId33"/>
    <sheet name="СОШ с. Узморье" sheetId="59" state="hidden" r:id="rId34"/>
    <sheet name="СОШ с. Широкополье" sheetId="60" state="hidden" r:id="rId35"/>
  </sheets>
  <definedNames>
    <definedName name="_xlnm._FilterDatabase" localSheetId="0" hidden="1">'7 кл'!$A$5:$Y$96</definedName>
    <definedName name="_xlnm._FilterDatabase" localSheetId="2" hidden="1">'9 кл'!$A$5:$Y$31</definedName>
  </definedNames>
  <calcPr calcId="125725"/>
</workbook>
</file>

<file path=xl/calcChain.xml><?xml version="1.0" encoding="utf-8"?>
<calcChain xmlns="http://schemas.openxmlformats.org/spreadsheetml/2006/main">
  <c r="F31" i="6"/>
  <c r="E31"/>
  <c r="D31"/>
  <c r="B31"/>
  <c r="F30"/>
  <c r="E30"/>
  <c r="D30"/>
  <c r="B30"/>
  <c r="F29"/>
  <c r="E29"/>
  <c r="B29"/>
  <c r="F28"/>
  <c r="E28"/>
  <c r="D28"/>
  <c r="B28"/>
  <c r="F27"/>
  <c r="E27"/>
  <c r="D27"/>
  <c r="B27"/>
  <c r="F26"/>
  <c r="E26"/>
  <c r="B26"/>
  <c r="F25"/>
  <c r="E25"/>
  <c r="D25"/>
  <c r="B25"/>
  <c r="F24"/>
  <c r="E24"/>
  <c r="D24"/>
  <c r="B24"/>
  <c r="F23"/>
  <c r="E23"/>
  <c r="B23"/>
  <c r="U22"/>
  <c r="F22"/>
  <c r="E22"/>
  <c r="B22"/>
  <c r="U21"/>
  <c r="F21"/>
  <c r="E21"/>
  <c r="D21"/>
  <c r="B21"/>
  <c r="U20"/>
  <c r="F20"/>
  <c r="E20"/>
  <c r="B20"/>
  <c r="U19"/>
  <c r="F19"/>
  <c r="E19"/>
  <c r="B19"/>
  <c r="U18"/>
  <c r="F18"/>
  <c r="E18"/>
  <c r="B18"/>
  <c r="U17"/>
  <c r="F17"/>
  <c r="E17"/>
  <c r="B17"/>
  <c r="U16"/>
  <c r="F16"/>
  <c r="E16"/>
  <c r="D16"/>
  <c r="B16"/>
  <c r="U15"/>
  <c r="F15"/>
  <c r="E15"/>
  <c r="B15"/>
  <c r="U14"/>
  <c r="F14"/>
  <c r="E14"/>
  <c r="B14"/>
  <c r="U13"/>
  <c r="F13"/>
  <c r="E13"/>
  <c r="B13"/>
  <c r="U12"/>
  <c r="F12"/>
  <c r="E12"/>
  <c r="B12"/>
  <c r="U11"/>
  <c r="F11"/>
  <c r="E11"/>
  <c r="D11"/>
  <c r="B11"/>
  <c r="U10"/>
  <c r="F10"/>
  <c r="E10"/>
  <c r="B10"/>
  <c r="U9"/>
  <c r="F9"/>
  <c r="E9"/>
  <c r="D9"/>
  <c r="B9"/>
  <c r="U8"/>
  <c r="F8"/>
  <c r="E8"/>
  <c r="B8"/>
  <c r="U7"/>
  <c r="F7"/>
  <c r="E7"/>
  <c r="B7"/>
  <c r="F15" i="4"/>
  <c r="B13" i="8"/>
  <c r="E15" i="4"/>
  <c r="B15"/>
  <c r="D15"/>
  <c r="U7" l="1"/>
  <c r="U9"/>
  <c r="U8"/>
  <c r="U19"/>
  <c r="U11"/>
  <c r="U17"/>
  <c r="U10"/>
  <c r="U16"/>
  <c r="U13"/>
  <c r="U22"/>
  <c r="U15"/>
  <c r="U24"/>
  <c r="U21"/>
  <c r="U23"/>
  <c r="U12"/>
  <c r="U18"/>
  <c r="U20"/>
  <c r="U14" i="5"/>
  <c r="U15"/>
  <c r="U18"/>
  <c r="U20"/>
  <c r="U19"/>
  <c r="U10"/>
  <c r="U16"/>
  <c r="U22"/>
  <c r="U11"/>
  <c r="U7"/>
  <c r="U13"/>
  <c r="U17"/>
  <c r="U21"/>
  <c r="U12"/>
  <c r="U9"/>
  <c r="Y11" i="8"/>
  <c r="Y15"/>
  <c r="Y12"/>
  <c r="Y24"/>
  <c r="Y10"/>
  <c r="Y23"/>
  <c r="Y20"/>
  <c r="Y21"/>
  <c r="Y19"/>
  <c r="Y22"/>
  <c r="Y25"/>
  <c r="Y18"/>
  <c r="Y9"/>
  <c r="Y16"/>
  <c r="Y8"/>
  <c r="Y7"/>
  <c r="Y13"/>
  <c r="Y17"/>
  <c r="U14" i="4"/>
  <c r="U8" i="5"/>
  <c r="Y19" i="7"/>
  <c r="Y15"/>
  <c r="Y16"/>
  <c r="Y14"/>
  <c r="Y20"/>
  <c r="Y11"/>
  <c r="Y21"/>
  <c r="Y17"/>
  <c r="Y9"/>
  <c r="Y10"/>
  <c r="Y13"/>
  <c r="Y8"/>
  <c r="Y12"/>
  <c r="Y7"/>
  <c r="Y18"/>
  <c r="Y14" i="8"/>
  <c r="B18" i="4"/>
  <c r="B13" i="5"/>
  <c r="W21" l="1"/>
  <c r="W8"/>
  <c r="E53" i="4"/>
  <c r="F52"/>
  <c r="E94"/>
  <c r="E50"/>
  <c r="D94"/>
  <c r="F18"/>
  <c r="D53"/>
  <c r="B50"/>
  <c r="E52"/>
  <c r="F51"/>
  <c r="F50"/>
  <c r="B51"/>
  <c r="B24" i="8"/>
  <c r="B53" i="4"/>
  <c r="F94"/>
  <c r="E51"/>
  <c r="B52"/>
  <c r="D50"/>
  <c r="F53"/>
  <c r="B94"/>
  <c r="D51"/>
  <c r="F24" i="8"/>
  <c r="D52" i="4"/>
  <c r="E24" i="8"/>
  <c r="AA7" l="1"/>
  <c r="O37" i="60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59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58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56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55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51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50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48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4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46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45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43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42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41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40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38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36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33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31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29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28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2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25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24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22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21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18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15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11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37" i="10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F19" i="8"/>
  <c r="B12"/>
  <c r="E16" i="5"/>
  <c r="F24"/>
  <c r="B14" i="8"/>
  <c r="B18"/>
  <c r="B26" i="7"/>
  <c r="E10" i="8"/>
  <c r="E26" i="7"/>
  <c r="E22" i="8"/>
  <c r="E18"/>
  <c r="E32"/>
  <c r="B32"/>
  <c r="F49" i="4"/>
  <c r="D14" i="7"/>
  <c r="B19" i="8"/>
  <c r="D28" i="5"/>
  <c r="F11"/>
  <c r="B19" i="7"/>
  <c r="F16" i="8"/>
  <c r="B12" i="5"/>
  <c r="B25" i="8"/>
  <c r="F13" i="5"/>
  <c r="E31" i="8"/>
  <c r="D8" i="7"/>
  <c r="B8" i="8"/>
  <c r="E14"/>
  <c r="F26" i="7"/>
  <c r="E17"/>
  <c r="B29" i="8"/>
  <c r="B7"/>
  <c r="F47" i="4"/>
  <c r="B18" i="7"/>
  <c r="E25" i="5"/>
  <c r="F67" i="4"/>
  <c r="B16" i="8"/>
  <c r="E13" i="7"/>
  <c r="D37" i="4"/>
  <c r="E15" i="8"/>
  <c r="D91" i="4"/>
  <c r="B39"/>
  <c r="E28" i="5"/>
  <c r="D72" i="4"/>
  <c r="D60"/>
  <c r="F25" i="8"/>
  <c r="E95" i="4"/>
  <c r="E46"/>
  <c r="F38"/>
  <c r="E47"/>
  <c r="D69"/>
  <c r="F28" i="7"/>
  <c r="F15"/>
  <c r="E30" i="4"/>
  <c r="B37"/>
  <c r="E10" i="5"/>
  <c r="F17" i="4"/>
  <c r="F15" i="5"/>
  <c r="D34" i="4"/>
  <c r="F32"/>
  <c r="B17" i="8"/>
  <c r="E12"/>
  <c r="D19" i="5"/>
  <c r="F7" i="7"/>
  <c r="E8"/>
  <c r="B23" i="8"/>
  <c r="D13"/>
  <c r="E16"/>
  <c r="E48" i="4"/>
  <c r="B27"/>
  <c r="E87"/>
  <c r="B8" i="5"/>
  <c r="E14" i="4"/>
  <c r="E24" i="7"/>
  <c r="E83" i="4"/>
  <c r="B95"/>
  <c r="E84"/>
  <c r="B58"/>
  <c r="B9" i="8"/>
  <c r="B22" i="4"/>
  <c r="B59"/>
  <c r="F42"/>
  <c r="E26" i="5"/>
  <c r="E17" i="4"/>
  <c r="F81"/>
  <c r="F12" i="7"/>
  <c r="F85" i="4"/>
  <c r="E21" i="7"/>
  <c r="E93" i="4"/>
  <c r="B25"/>
  <c r="D46"/>
  <c r="F46"/>
  <c r="D93"/>
  <c r="E35"/>
  <c r="B57"/>
  <c r="B68"/>
  <c r="D42"/>
  <c r="E21" i="8"/>
  <c r="F66" i="4"/>
  <c r="D40"/>
  <c r="E68"/>
  <c r="E9"/>
  <c r="D81"/>
  <c r="E73"/>
  <c r="F40"/>
  <c r="E40"/>
  <c r="D77"/>
  <c r="F56"/>
  <c r="B28"/>
  <c r="E7" i="8"/>
  <c r="D59" i="4"/>
  <c r="E39"/>
  <c r="D25" i="8"/>
  <c r="E29" i="5"/>
  <c r="F22" i="7"/>
  <c r="F10" i="4"/>
  <c r="E32"/>
  <c r="F70"/>
  <c r="F14" i="5"/>
  <c r="F92" i="4"/>
  <c r="F61"/>
  <c r="D21"/>
  <c r="F21" i="5"/>
  <c r="E28" i="8"/>
  <c r="F54" i="4"/>
  <c r="B85"/>
  <c r="B65"/>
  <c r="D8" i="8"/>
  <c r="D20" i="7"/>
  <c r="B15" i="8"/>
  <c r="E27"/>
  <c r="F17"/>
  <c r="B20"/>
  <c r="B12" i="7"/>
  <c r="E66" i="4"/>
  <c r="B10" i="5"/>
  <c r="D24"/>
  <c r="E76" i="4"/>
  <c r="F79"/>
  <c r="E75"/>
  <c r="D92"/>
  <c r="F96"/>
  <c r="E33" i="8"/>
  <c r="D75" i="4"/>
  <c r="F13" i="7"/>
  <c r="B10" i="4"/>
  <c r="D83"/>
  <c r="D21" i="5"/>
  <c r="B19" i="4"/>
  <c r="B76"/>
  <c r="D31"/>
  <c r="B21" i="8"/>
  <c r="E74" i="4"/>
  <c r="B49"/>
  <c r="E63"/>
  <c r="B72"/>
  <c r="B11" i="8"/>
  <c r="E12" i="4"/>
  <c r="B20" i="5"/>
  <c r="E81" i="4"/>
  <c r="E17" i="5"/>
  <c r="F74" i="4"/>
  <c r="D9"/>
  <c r="F18" i="5"/>
  <c r="E80" i="4"/>
  <c r="B75"/>
  <c r="E18" i="5"/>
  <c r="B77" i="4"/>
  <c r="E30" i="8"/>
  <c r="D48" i="4"/>
  <c r="D10" i="5"/>
  <c r="E27"/>
  <c r="D41" i="4"/>
  <c r="D57"/>
  <c r="E69"/>
  <c r="F86"/>
  <c r="E10" i="7"/>
  <c r="E61" i="4"/>
  <c r="D74"/>
  <c r="B66"/>
  <c r="E17" i="8"/>
  <c r="F8" i="5"/>
  <c r="F15" i="8"/>
  <c r="D29" i="5"/>
  <c r="E49" i="4"/>
  <c r="B14" i="7"/>
  <c r="E89" i="4"/>
  <c r="F76"/>
  <c r="B55"/>
  <c r="D12" i="5"/>
  <c r="F37" i="4"/>
  <c r="B78"/>
  <c r="E38"/>
  <c r="F41"/>
  <c r="B27" i="5"/>
  <c r="F33" i="8"/>
  <c r="F16" i="5"/>
  <c r="B11"/>
  <c r="F13" i="4"/>
  <c r="F10" i="5"/>
  <c r="D84" i="4"/>
  <c r="B9" i="7"/>
  <c r="E22" i="5"/>
  <c r="D7" i="8"/>
  <c r="F26"/>
  <c r="D21" i="7"/>
  <c r="F14" i="8"/>
  <c r="B28" i="5"/>
  <c r="E18" i="7"/>
  <c r="E8" i="8"/>
  <c r="B22" i="5"/>
  <c r="B17" i="7"/>
  <c r="F11" i="8"/>
  <c r="B22" i="7"/>
  <c r="E25" i="8"/>
  <c r="D9" i="5"/>
  <c r="B42" i="4"/>
  <c r="E77"/>
  <c r="F91"/>
  <c r="D35"/>
  <c r="F77"/>
  <c r="B38"/>
  <c r="B19" i="5"/>
  <c r="F25" i="7"/>
  <c r="D36" i="4"/>
  <c r="D43"/>
  <c r="F27" i="8"/>
  <c r="F30" i="5"/>
  <c r="B16" i="7"/>
  <c r="B24"/>
  <c r="F19"/>
  <c r="E56" i="4"/>
  <c r="B21"/>
  <c r="E30" i="5"/>
  <c r="B32" i="4"/>
  <c r="F26" i="5"/>
  <c r="D89" i="4"/>
  <c r="B8"/>
  <c r="E19" i="5"/>
  <c r="B21"/>
  <c r="F71" i="4"/>
  <c r="F59"/>
  <c r="F21" i="7"/>
  <c r="F48" i="4"/>
  <c r="B17"/>
  <c r="E14" i="5"/>
  <c r="B30"/>
  <c r="F19"/>
  <c r="F26" i="4"/>
  <c r="B67"/>
  <c r="E27" i="7"/>
  <c r="F17"/>
  <c r="F20" i="5"/>
  <c r="B35" i="4"/>
  <c r="F9" i="5"/>
  <c r="F64" i="4"/>
  <c r="B14" i="5"/>
  <c r="F63" i="4"/>
  <c r="E22"/>
  <c r="B41"/>
  <c r="F24"/>
  <c r="F31" i="8"/>
  <c r="D16"/>
  <c r="E16" i="7"/>
  <c r="B28"/>
  <c r="B96" i="4"/>
  <c r="B45"/>
  <c r="F60"/>
  <c r="F28" i="5"/>
  <c r="F57" i="4"/>
  <c r="E11" i="8"/>
  <c r="B31"/>
  <c r="E28" i="4"/>
  <c r="B30" i="8"/>
  <c r="D67" i="4"/>
  <c r="F9"/>
  <c r="F29"/>
  <c r="F55"/>
  <c r="E8"/>
  <c r="E43"/>
  <c r="B18" i="5"/>
  <c r="F32" i="8"/>
  <c r="F12"/>
  <c r="E31" i="4"/>
  <c r="F12" i="5"/>
  <c r="B7" i="4"/>
  <c r="D61"/>
  <c r="E13" i="5"/>
  <c r="E54" i="4"/>
  <c r="D76"/>
  <c r="F29" i="5"/>
  <c r="E14" i="7"/>
  <c r="E16" i="4"/>
  <c r="E23"/>
  <c r="B24" i="5"/>
  <c r="B73" i="4"/>
  <c r="F39"/>
  <c r="F43"/>
  <c r="E10"/>
  <c r="B71"/>
  <c r="D85"/>
  <c r="F93"/>
  <c r="F25" i="5"/>
  <c r="B48" i="4"/>
  <c r="B80"/>
  <c r="B16"/>
  <c r="F95"/>
  <c r="E21"/>
  <c r="D25" i="5"/>
  <c r="F30" i="8"/>
  <c r="B27"/>
  <c r="B25" i="7"/>
  <c r="F45" i="4"/>
  <c r="D16" i="5"/>
  <c r="B83" i="4"/>
  <c r="B88"/>
  <c r="F75"/>
  <c r="E20" i="5"/>
  <c r="F22" i="8"/>
  <c r="E86" i="4"/>
  <c r="F78"/>
  <c r="D47"/>
  <c r="B25" i="5"/>
  <c r="F19" i="4"/>
  <c r="E23" i="5"/>
  <c r="D95" i="4"/>
  <c r="E92"/>
  <c r="D18"/>
  <c r="B30"/>
  <c r="F11" i="7"/>
  <c r="D11"/>
  <c r="B23" i="4"/>
  <c r="F89"/>
  <c r="E70"/>
  <c r="F88"/>
  <c r="D23" i="5"/>
  <c r="E29" i="8"/>
  <c r="E65" i="4"/>
  <c r="F22"/>
  <c r="D66"/>
  <c r="E33"/>
  <c r="D26" i="5"/>
  <c r="D58" i="4"/>
  <c r="F17" i="5"/>
  <c r="F12" i="4"/>
  <c r="F7"/>
  <c r="F10" i="7"/>
  <c r="B17" i="5"/>
  <c r="F20" i="4"/>
  <c r="E62"/>
  <c r="D12"/>
  <c r="B44"/>
  <c r="D39"/>
  <c r="B15" i="7"/>
  <c r="E71" i="4"/>
  <c r="D88"/>
  <c r="B24"/>
  <c r="B64"/>
  <c r="E20"/>
  <c r="D54"/>
  <c r="B69"/>
  <c r="E42"/>
  <c r="E96"/>
  <c r="E11" i="5"/>
  <c r="F68" i="4"/>
  <c r="E36"/>
  <c r="E88"/>
  <c r="F27" i="7"/>
  <c r="E57" i="4"/>
  <c r="F16"/>
  <c r="F9" i="7"/>
  <c r="F25" i="4"/>
  <c r="B12"/>
  <c r="B70"/>
  <c r="B20"/>
  <c r="D79"/>
  <c r="F87"/>
  <c r="B60"/>
  <c r="D27" i="8"/>
  <c r="E8" i="5"/>
  <c r="F21" i="8"/>
  <c r="B20" i="7"/>
  <c r="E20"/>
  <c r="F23" i="8"/>
  <c r="F14" i="7"/>
  <c r="F23"/>
  <c r="E21" i="5"/>
  <c r="F28" i="8"/>
  <c r="F14" i="4"/>
  <c r="F13" i="8"/>
  <c r="B26" i="5"/>
  <c r="F22"/>
  <c r="E23" i="8"/>
  <c r="B16" i="5"/>
  <c r="E19" i="8"/>
  <c r="F69" i="4"/>
  <c r="D55"/>
  <c r="D13" i="7"/>
  <c r="B86" i="4"/>
  <c r="E15" i="7"/>
  <c r="F36" i="4"/>
  <c r="E13" i="8"/>
  <c r="F23" i="5"/>
  <c r="B21" i="7"/>
  <c r="D82" i="4"/>
  <c r="E15" i="5"/>
  <c r="B46" i="4"/>
  <c r="B15" i="5"/>
  <c r="F9" i="8"/>
  <c r="E7" i="7"/>
  <c r="D86" i="4"/>
  <c r="E25"/>
  <c r="B31"/>
  <c r="F10" i="8"/>
  <c r="E34" i="4"/>
  <c r="B9" i="5"/>
  <c r="E27" i="4"/>
  <c r="B87"/>
  <c r="B56"/>
  <c r="E7"/>
  <c r="D38"/>
  <c r="E82"/>
  <c r="D64"/>
  <c r="F73"/>
  <c r="E67"/>
  <c r="E23" i="7"/>
  <c r="E9"/>
  <c r="B74" i="4"/>
  <c r="E85"/>
  <c r="B90"/>
  <c r="F21"/>
  <c r="B14"/>
  <c r="B8" i="7"/>
  <c r="E72" i="4"/>
  <c r="E64"/>
  <c r="F30"/>
  <c r="D71"/>
  <c r="F62"/>
  <c r="E9" i="5"/>
  <c r="B9" i="4"/>
  <c r="E55"/>
  <c r="F80"/>
  <c r="B89"/>
  <c r="E9" i="8"/>
  <c r="F20" i="7"/>
  <c r="E20" i="8"/>
  <c r="F24" i="7"/>
  <c r="E28"/>
  <c r="F16"/>
  <c r="B33" i="8"/>
  <c r="B81" i="4"/>
  <c r="F29" i="8"/>
  <c r="B91" i="4"/>
  <c r="D8"/>
  <c r="B47"/>
  <c r="D78"/>
  <c r="E90"/>
  <c r="D90"/>
  <c r="E24"/>
  <c r="F44"/>
  <c r="D63"/>
  <c r="B82"/>
  <c r="B29" i="5"/>
  <c r="B29" i="4"/>
  <c r="F58"/>
  <c r="E78"/>
  <c r="B13"/>
  <c r="B13" i="7"/>
  <c r="B27"/>
  <c r="E79" i="4"/>
  <c r="E19" i="7"/>
  <c r="B26" i="8"/>
  <c r="B79" i="4"/>
  <c r="B62"/>
  <c r="D73"/>
  <c r="B93"/>
  <c r="E13"/>
  <c r="E12" i="5"/>
  <c r="E58" i="4"/>
  <c r="F82"/>
  <c r="E26"/>
  <c r="D20"/>
  <c r="E19"/>
  <c r="D62"/>
  <c r="B23" i="7"/>
  <c r="F35" i="4"/>
  <c r="E22" i="7"/>
  <c r="F90" i="4"/>
  <c r="D70"/>
  <c r="F20" i="8"/>
  <c r="E25" i="7"/>
  <c r="F18" i="8"/>
  <c r="B10"/>
  <c r="E12" i="7"/>
  <c r="E44" i="4"/>
  <c r="B11"/>
  <c r="E26" i="8"/>
  <c r="F72" i="4"/>
  <c r="B7" i="7"/>
  <c r="B26" i="4"/>
  <c r="F83"/>
  <c r="E29"/>
  <c r="F8" i="7"/>
  <c r="B36" i="4"/>
  <c r="B34"/>
  <c r="D44"/>
  <c r="F8"/>
  <c r="B84"/>
  <c r="F23"/>
  <c r="D80"/>
  <c r="B22" i="8"/>
  <c r="F33" i="4"/>
  <c r="B63"/>
  <c r="F27"/>
  <c r="D22" i="5"/>
  <c r="D49" i="4"/>
  <c r="B23" i="5"/>
  <c r="D68" i="4"/>
  <c r="F7" i="8"/>
  <c r="B92" i="4"/>
  <c r="D56"/>
  <c r="E91"/>
  <c r="E59"/>
  <c r="E11" i="7"/>
  <c r="D27" i="4"/>
  <c r="B61"/>
  <c r="F11"/>
  <c r="F18" i="7"/>
  <c r="F65" i="4"/>
  <c r="D45"/>
  <c r="F84"/>
  <c r="E60"/>
  <c r="D29"/>
  <c r="B43"/>
  <c r="E24" i="5"/>
  <c r="E41" i="4"/>
  <c r="D65"/>
  <c r="B33"/>
  <c r="F34"/>
  <c r="F31"/>
  <c r="E45"/>
  <c r="D12" i="7"/>
  <c r="F8" i="8"/>
  <c r="B40" i="4"/>
  <c r="E11"/>
  <c r="E18"/>
  <c r="B54"/>
  <c r="F27" i="5"/>
  <c r="B28" i="8"/>
  <c r="D25" i="4"/>
  <c r="B10" i="7"/>
  <c r="F28" i="4"/>
  <c r="B11" i="7"/>
  <c r="D87" i="4"/>
  <c r="E37"/>
  <c r="W13" i="5" l="1"/>
  <c r="W8" i="4"/>
  <c r="W15" i="5"/>
  <c r="W7"/>
  <c r="W10" i="4"/>
  <c r="AA25" i="8"/>
  <c r="W21" i="4"/>
  <c r="W9"/>
  <c r="AA9" i="7"/>
  <c r="W15" i="6"/>
  <c r="W12" i="5"/>
  <c r="W15" i="4"/>
  <c r="W19" i="6"/>
  <c r="W9"/>
  <c r="W20" i="4"/>
  <c r="AA19" i="7"/>
  <c r="W22" i="5"/>
  <c r="W21" i="6"/>
  <c r="W19" i="5"/>
  <c r="AA13" i="7"/>
  <c r="W12" i="4"/>
  <c r="W20" i="5"/>
  <c r="W13" i="4"/>
  <c r="AA18" i="8"/>
  <c r="W16" i="4"/>
  <c r="W11"/>
  <c r="AA24" i="8"/>
  <c r="W18" i="6"/>
  <c r="W23" i="4"/>
  <c r="W14"/>
  <c r="W9" i="5"/>
  <c r="AA14" i="8"/>
  <c r="W8" i="6"/>
  <c r="AA21" i="8"/>
  <c r="AA12"/>
  <c r="W11" i="5"/>
  <c r="AA8" i="7"/>
  <c r="AA19" i="8"/>
  <c r="W12" i="6"/>
  <c r="W17" i="4"/>
  <c r="AA15" i="7"/>
  <c r="W18" i="4"/>
  <c r="AA14" i="7"/>
  <c r="W19" i="4"/>
  <c r="W17" i="5"/>
  <c r="W7" i="4"/>
  <c r="W18" i="5"/>
  <c r="W13" i="6"/>
  <c r="W24" i="4"/>
  <c r="AA11" i="8"/>
  <c r="W17" i="6"/>
  <c r="W14" i="5"/>
  <c r="AA17" i="7"/>
  <c r="AA20" i="8"/>
  <c r="W22" i="4"/>
  <c r="AA15" i="8"/>
  <c r="W16" i="6"/>
  <c r="AA7" i="7"/>
  <c r="AA13" i="8"/>
  <c r="AA16" i="7"/>
  <c r="AA10"/>
  <c r="AA18"/>
  <c r="W10" i="6"/>
  <c r="W7"/>
  <c r="W14"/>
  <c r="AA20" i="7"/>
  <c r="AA11"/>
  <c r="W16" i="5"/>
  <c r="AA22" i="8"/>
  <c r="AA23"/>
  <c r="W10" i="5"/>
  <c r="W11" i="6"/>
  <c r="AA8" i="8"/>
  <c r="AA21" i="7"/>
  <c r="AA12"/>
  <c r="W22" i="6"/>
  <c r="AA17" i="8"/>
  <c r="AA9"/>
  <c r="AA10"/>
  <c r="W20" i="6"/>
  <c r="AA16" i="8"/>
</calcChain>
</file>

<file path=xl/sharedStrings.xml><?xml version="1.0" encoding="utf-8"?>
<sst xmlns="http://schemas.openxmlformats.org/spreadsheetml/2006/main" count="1685" uniqueCount="97">
  <si>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</si>
  <si>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</si>
  <si>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</si>
  <si>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</si>
  <si>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</si>
  <si>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</si>
  <si>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Практический тур</t>
  </si>
  <si>
    <t>Апелляция</t>
  </si>
  <si>
    <t>Итого</t>
  </si>
  <si>
    <t>Рейтинг</t>
  </si>
  <si>
    <t>Статус</t>
  </si>
  <si>
    <t xml:space="preserve">Сумма баллов </t>
  </si>
  <si>
    <t>Морозова Ирина Романовна</t>
  </si>
  <si>
    <t>Мищенко Ирина Николаевна</t>
  </si>
  <si>
    <t>Сумма баллов (83)</t>
  </si>
  <si>
    <t>МОУ "СОШ №2"</t>
  </si>
  <si>
    <t>МОУ "СОШ №3"</t>
  </si>
  <si>
    <t>МОУ "СОШ №7"</t>
  </si>
  <si>
    <t>МОУ "СОШ №12"</t>
  </si>
  <si>
    <t>МОУ "СОШ №16"</t>
  </si>
  <si>
    <t>МОУ "СОШ №18"</t>
  </si>
  <si>
    <t>МОУ "СОШ №20"</t>
  </si>
  <si>
    <t>МОУ "СОШ №21"</t>
  </si>
  <si>
    <t>МОУ "ООШ №26"</t>
  </si>
  <si>
    <t>МОУ "СОШ №29"</t>
  </si>
  <si>
    <t>МОУ "СОШ №30"</t>
  </si>
  <si>
    <t>МОУ "СОШ №32"</t>
  </si>
  <si>
    <t>МОУ "СОШ №42"</t>
  </si>
  <si>
    <t>МОУ "СОШ п. Бурный"</t>
  </si>
  <si>
    <t>МОУ "ООШ с. Безымянное"</t>
  </si>
  <si>
    <t>МОУ "ООШ п. Взлетный"</t>
  </si>
  <si>
    <t>МОУ "СОШ с. Воскресенка"</t>
  </si>
  <si>
    <t>МОУ "СОШ с. Генеральское"</t>
  </si>
  <si>
    <t>МОУ "СОШ с. Заветное"</t>
  </si>
  <si>
    <t>МОУ "СОШ с. Красный Яр"</t>
  </si>
  <si>
    <t>МОУ "СОШ с. Квасниковка"</t>
  </si>
  <si>
    <t>МОУ "СОШ с. Кирово"</t>
  </si>
  <si>
    <t>МОУ "СОШ п. Коминтерн"</t>
  </si>
  <si>
    <t>МОУ "ООШ п. Лощинный"</t>
  </si>
  <si>
    <t>МОУ "СОШ с. Липовка"</t>
  </si>
  <si>
    <t>МОУ "ООШ с. Подстепное"</t>
  </si>
  <si>
    <t>МОУ "СОШ п. Пробуждение"</t>
  </si>
  <si>
    <t>8 класс</t>
  </si>
  <si>
    <t>МОУ "СОШ с. Терновка"</t>
  </si>
  <si>
    <t>МОУ "СОШ с. Узморье"</t>
  </si>
  <si>
    <t>МОУ "СОШ с. Широкополье"</t>
  </si>
  <si>
    <t>ПРОТОКОЛ</t>
  </si>
  <si>
    <t>10 класс</t>
  </si>
  <si>
    <t>11 класс</t>
  </si>
  <si>
    <t>7 класс</t>
  </si>
  <si>
    <t>9 класс</t>
  </si>
  <si>
    <t>муниципального этапа Всероссийской олимпиады школьников по экологии 2021-2022 учебный год</t>
  </si>
  <si>
    <t>муниципального  этапа Всероссийской олимпиады школьников по экологии 2021-2022 учебный год</t>
  </si>
  <si>
    <t>1 (4 б)</t>
  </si>
  <si>
    <t>2 (6 б)</t>
  </si>
  <si>
    <t>3 (6 б)</t>
  </si>
  <si>
    <t>4 (6 б)</t>
  </si>
  <si>
    <t>5 (8 б)</t>
  </si>
  <si>
    <t>6 (6 б)</t>
  </si>
  <si>
    <t>7 (4 б)</t>
  </si>
  <si>
    <t>8 (5 б)</t>
  </si>
  <si>
    <t>9 (8 б)</t>
  </si>
  <si>
    <t>10 (6 б)</t>
  </si>
  <si>
    <t>11 (8 б)</t>
  </si>
  <si>
    <t>12 (6 б)</t>
  </si>
  <si>
    <t>13 (2 б)</t>
  </si>
  <si>
    <t>14 (8 б)</t>
  </si>
  <si>
    <t>15 (4 б)</t>
  </si>
  <si>
    <t>87 баллов</t>
  </si>
  <si>
    <t>2 (2 б)</t>
  </si>
  <si>
    <t>3 (4 б)</t>
  </si>
  <si>
    <t>4 ( 4 б)</t>
  </si>
  <si>
    <t>5 (4 б)</t>
  </si>
  <si>
    <t>6 (4 б)</t>
  </si>
  <si>
    <t>8 (6 б)</t>
  </si>
  <si>
    <t>9 (6 б)</t>
  </si>
  <si>
    <t>11 (6 б)</t>
  </si>
  <si>
    <t>13 (6 б)</t>
  </si>
  <si>
    <t xml:space="preserve">62 балла </t>
  </si>
  <si>
    <r>
      <t>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Мищенко Ирина Николаевна, учитель МОУ «Школа нового века»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</si>
  <si>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Газданова   Валентина Владимировна, учитель МАОУ «Образовательный центр им. М.М. Расковой»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</si>
  <si>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Кривошапко Ольга Васильевна, учитель МБОУ «СОШ № 32»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</si>
  <si>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Котлярова Евгения Владимировна, учитель МОУ «СОШ №31»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</si>
  <si>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Моисеева Татьяна Владимировна, учитель МОУ «СОШ № 24 им. В.И. Пономаренко»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</si>
  <si>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Сибряева Надежда Васильевна, учитель МОУ «СОШ № 33»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</si>
  <si>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>Мешкова Екатерина Олеговна, учитель МОУ «СОШ №5»</t>
    </r>
  </si>
  <si>
    <t xml:space="preserve">9. Демешко Валерьевна, учитель МОУ «СОШ п. Прибрежный»                         </t>
  </si>
  <si>
    <r>
      <t>1.</t>
    </r>
    <r>
      <rPr>
        <sz val="7"/>
        <color rgb="FF000000"/>
        <rFont val="Times New Roman"/>
        <family val="1"/>
        <charset val="204"/>
      </rPr>
      <t>     </t>
    </r>
    <r>
      <rPr>
        <b/>
        <sz val="7"/>
        <color rgb="FF000000"/>
        <rFont val="Times New Roman"/>
        <family val="1"/>
        <charset val="204"/>
      </rPr>
      <t xml:space="preserve"> </t>
    </r>
    <r>
      <rPr>
        <b/>
        <sz val="13"/>
        <color rgb="FF000000"/>
        <rFont val="Times New Roman"/>
        <family val="1"/>
        <charset val="204"/>
      </rPr>
      <t>Председатель жюри</t>
    </r>
    <r>
      <rPr>
        <sz val="13"/>
        <color rgb="FF000000"/>
        <rFont val="Times New Roman"/>
        <family val="1"/>
        <charset val="204"/>
      </rPr>
      <t xml:space="preserve"> Карташова Анна Александровна, учитель МОУ «СОШ № 19»</t>
    </r>
  </si>
  <si>
    <t>МОУ «СОШ «Патриот» с кадетскими классами им. Ю.М. Дейнеко»</t>
  </si>
  <si>
    <t>МАОУ «Образовательный центр им. М.М. Расковой»</t>
  </si>
  <si>
    <t>МОУ «СОШ им. Ю.А. Гагарина»</t>
  </si>
  <si>
    <t>МОУ «МЭЛ им. А.Г. Шнитке»</t>
  </si>
  <si>
    <t>МОУ «СОШ № 24 им. В.И. Пономаренко»</t>
  </si>
  <si>
    <t>МОУ «СОШ №4 им. С.П. Королёва»</t>
  </si>
  <si>
    <t>МОУ «СОШ №33 им. П.А. Столыпина»</t>
  </si>
  <si>
    <t>МОУ «СОШ №5 им. В. Хомяковой»</t>
  </si>
  <si>
    <t>МОУ «Гимназия № 8»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</si>
</sst>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4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  <font>
      <sz val="10"/>
      <color theme="1"/>
      <name val="Arial"/>
      <family val="2"/>
      <charset val="204"/>
      <scheme val="major"/>
    </font>
    <font>
      <b/>
      <sz val="10"/>
      <color theme="1"/>
      <name val="Aria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/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6" fillId="0" borderId="6" xfId="0" applyFont="1" applyFill="1" applyBorder="1" applyAlignment="1">
      <alignment vertical="top"/>
    </xf>
    <xf numFmtId="0" fontId="6" fillId="0" borderId="6" xfId="0" applyFont="1" applyFill="1" applyBorder="1"/>
    <xf numFmtId="0" fontId="8" fillId="0" borderId="6" xfId="0" applyFont="1" applyFill="1" applyBorder="1" applyAlignment="1">
      <alignment vertical="top"/>
    </xf>
    <xf numFmtId="0" fontId="7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5" fillId="3" borderId="6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/>
    <xf numFmtId="0" fontId="5" fillId="2" borderId="13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/>
    <xf numFmtId="0" fontId="13" fillId="3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/>
    <xf numFmtId="0" fontId="15" fillId="0" borderId="6" xfId="0" applyFont="1" applyFill="1" applyBorder="1"/>
    <xf numFmtId="0" fontId="15" fillId="0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center" vertical="top" wrapText="1"/>
    </xf>
    <xf numFmtId="0" fontId="7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5"/>
  <sheetViews>
    <sheetView topLeftCell="G1" zoomScale="70" zoomScaleNormal="70" workbookViewId="0">
      <selection activeCell="L97" sqref="L97"/>
    </sheetView>
  </sheetViews>
  <sheetFormatPr defaultColWidth="14.42578125" defaultRowHeight="15.75" customHeight="1"/>
  <cols>
    <col min="1" max="1" width="7" customWidth="1"/>
    <col min="2" max="2" width="38.7109375" customWidth="1"/>
    <col min="3" max="3" width="12.5703125" customWidth="1"/>
    <col min="4" max="4" width="36" customWidth="1"/>
    <col min="5" max="5" width="9.85546875" customWidth="1"/>
    <col min="6" max="6" width="33" customWidth="1"/>
    <col min="7" max="19" width="8.7109375" customWidth="1"/>
    <col min="20" max="20" width="10.85546875" hidden="1" customWidth="1"/>
    <col min="25" max="25" width="16.5703125" customWidth="1"/>
  </cols>
  <sheetData>
    <row r="1" spans="1:26" s="14" customFormat="1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14" customFormat="1" ht="15.7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s="14" customFormat="1" ht="15.75" customHeight="1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s="14" customFormat="1" ht="15.75" customHeight="1">
      <c r="A4" s="50" t="s">
        <v>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s="14" customFormat="1" ht="28.5" customHeight="1">
      <c r="A5" s="51" t="s">
        <v>0</v>
      </c>
      <c r="B5" s="51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2" t="s">
        <v>6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41"/>
      <c r="U5" s="27" t="s">
        <v>11</v>
      </c>
      <c r="V5" s="49" t="s">
        <v>7</v>
      </c>
      <c r="W5" s="49" t="s">
        <v>8</v>
      </c>
      <c r="X5" s="49" t="s">
        <v>9</v>
      </c>
      <c r="Y5" s="42" t="s">
        <v>10</v>
      </c>
    </row>
    <row r="6" spans="1:26" s="14" customFormat="1" ht="12.75">
      <c r="A6" s="51"/>
      <c r="B6" s="51"/>
      <c r="C6" s="51"/>
      <c r="D6" s="51"/>
      <c r="E6" s="51"/>
      <c r="F6" s="51"/>
      <c r="G6" s="39" t="s">
        <v>53</v>
      </c>
      <c r="H6" s="39" t="s">
        <v>69</v>
      </c>
      <c r="I6" s="39" t="s">
        <v>70</v>
      </c>
      <c r="J6" s="39" t="s">
        <v>71</v>
      </c>
      <c r="K6" s="39" t="s">
        <v>72</v>
      </c>
      <c r="L6" s="39" t="s">
        <v>73</v>
      </c>
      <c r="M6" s="39" t="s">
        <v>59</v>
      </c>
      <c r="N6" s="39" t="s">
        <v>74</v>
      </c>
      <c r="O6" s="39" t="s">
        <v>75</v>
      </c>
      <c r="P6" s="39" t="s">
        <v>62</v>
      </c>
      <c r="Q6" s="40" t="s">
        <v>76</v>
      </c>
      <c r="R6" s="40" t="s">
        <v>64</v>
      </c>
      <c r="S6" s="40" t="s">
        <v>77</v>
      </c>
      <c r="T6" s="45"/>
      <c r="U6" s="31" t="s">
        <v>78</v>
      </c>
      <c r="V6" s="49"/>
      <c r="W6" s="49"/>
      <c r="X6" s="49"/>
      <c r="Y6" s="38"/>
    </row>
    <row r="7" spans="1:26" ht="12.75">
      <c r="A7" s="20">
        <v>1</v>
      </c>
      <c r="B7" s="25" t="str">
        <f ca="1">IFERROR(__xludf.DUMMYFUNCTION("IMPORTRANGE(""https://docs.google.com/spreadsheets/d/16CWr8ky6L0i1S4UOLMYHizeHS6aZnIDEnQPyRJyTpcI/edit#gid=0"", ""Патриот!B70:O81"")"),"Сулаева Юлия Дмитриевна")</f>
        <v>Сулаева Юлия Дмитриевна</v>
      </c>
      <c r="C7" s="19">
        <v>702</v>
      </c>
      <c r="D7" s="76" t="s">
        <v>88</v>
      </c>
      <c r="E7" s="19">
        <f ca="1">IFERROR(__xludf.DUMMYFUNCTION("""COMPUTED_VALUE"""),7)</f>
        <v>7</v>
      </c>
      <c r="F7" s="22" t="str">
        <f ca="1">IFERROR(__xludf.DUMMYFUNCTION("""COMPUTED_VALUE"""),"Языкова Светлана Александровна")</f>
        <v>Языкова Светлана Александровна</v>
      </c>
      <c r="G7" s="20">
        <v>4</v>
      </c>
      <c r="H7" s="20">
        <v>2</v>
      </c>
      <c r="I7" s="20">
        <v>4</v>
      </c>
      <c r="J7" s="20">
        <v>4</v>
      </c>
      <c r="K7" s="20">
        <v>4</v>
      </c>
      <c r="L7" s="20">
        <v>4</v>
      </c>
      <c r="M7" s="20">
        <v>4</v>
      </c>
      <c r="N7" s="20">
        <v>6</v>
      </c>
      <c r="O7" s="20">
        <v>4</v>
      </c>
      <c r="P7" s="20">
        <v>4</v>
      </c>
      <c r="Q7" s="20">
        <v>6</v>
      </c>
      <c r="R7" s="20">
        <v>4</v>
      </c>
      <c r="S7" s="20">
        <v>6</v>
      </c>
      <c r="T7" s="20"/>
      <c r="U7" s="19">
        <f t="shared" ref="U7:U24" si="0">SUM(G7:S7)</f>
        <v>56</v>
      </c>
      <c r="V7" s="23"/>
      <c r="W7" s="20">
        <f t="shared" ref="W7:W24" si="1">U7</f>
        <v>56</v>
      </c>
      <c r="X7" s="20">
        <v>1</v>
      </c>
      <c r="Y7" s="20"/>
    </row>
    <row r="8" spans="1:26" ht="12.75">
      <c r="A8" s="20">
        <v>2</v>
      </c>
      <c r="B8" s="24" t="str">
        <f ca="1">IFERROR(__xludf.DUMMYFUNCTION("""COMPUTED_VALUE"""),"Широченко Анастасия Александровна")</f>
        <v>Широченко Анастасия Александровна</v>
      </c>
      <c r="C8" s="20">
        <v>704</v>
      </c>
      <c r="D8" s="24" t="str">
        <f ca="1">IFERROR(__xludf.DUMMYFUNCTION("""COMPUTED_VALUE"""),"МОУ ""СОШ №31""")</f>
        <v>МОУ "СОШ №31"</v>
      </c>
      <c r="E8" s="20">
        <f ca="1">IFERROR(__xludf.DUMMYFUNCTION("""COMPUTED_VALUE"""),7)</f>
        <v>7</v>
      </c>
      <c r="F8" s="24" t="str">
        <f ca="1">IFERROR(__xludf.DUMMYFUNCTION("""COMPUTED_VALUE"""),"Котлярова Евгения Владимировна")</f>
        <v>Котлярова Евгения Владимировна</v>
      </c>
      <c r="G8" s="19">
        <v>2</v>
      </c>
      <c r="H8" s="19">
        <v>2</v>
      </c>
      <c r="I8" s="19">
        <v>4</v>
      </c>
      <c r="J8" s="19">
        <v>4</v>
      </c>
      <c r="K8" s="19">
        <v>4</v>
      </c>
      <c r="L8" s="19">
        <v>4</v>
      </c>
      <c r="M8" s="19">
        <v>2</v>
      </c>
      <c r="N8" s="19">
        <v>4</v>
      </c>
      <c r="O8" s="19">
        <v>6</v>
      </c>
      <c r="P8" s="19">
        <v>6</v>
      </c>
      <c r="Q8" s="19">
        <v>4</v>
      </c>
      <c r="R8" s="19">
        <v>6</v>
      </c>
      <c r="S8" s="19">
        <v>6</v>
      </c>
      <c r="T8" s="19"/>
      <c r="U8" s="19">
        <f t="shared" si="0"/>
        <v>54</v>
      </c>
      <c r="V8" s="23"/>
      <c r="W8" s="20">
        <f t="shared" si="1"/>
        <v>54</v>
      </c>
      <c r="X8" s="20">
        <v>2</v>
      </c>
      <c r="Y8" s="20"/>
    </row>
    <row r="9" spans="1:26" ht="12.75">
      <c r="A9" s="20">
        <v>3</v>
      </c>
      <c r="B9" s="24" t="str">
        <f ca="1">IFERROR(__xludf.DUMMYFUNCTION("""COMPUTED_VALUE"""),"Ермуханова Юлия Александровна")</f>
        <v>Ермуханова Юлия Александровна</v>
      </c>
      <c r="C9" s="20">
        <v>703</v>
      </c>
      <c r="D9" s="24" t="str">
        <f ca="1">IFERROR(__xludf.DUMMYFUNCTION("""COMPUTED_VALUE"""),"МОУ ""СОШ №31""")</f>
        <v>МОУ "СОШ №31"</v>
      </c>
      <c r="E9" s="20">
        <f ca="1">IFERROR(__xludf.DUMMYFUNCTION("""COMPUTED_VALUE"""),7)</f>
        <v>7</v>
      </c>
      <c r="F9" s="24" t="str">
        <f ca="1">IFERROR(__xludf.DUMMYFUNCTION("""COMPUTED_VALUE"""),"Котлярова Евгения Владимировна")</f>
        <v>Котлярова Евгения Владимировна</v>
      </c>
      <c r="G9" s="20">
        <v>4</v>
      </c>
      <c r="H9" s="20">
        <v>2</v>
      </c>
      <c r="I9" s="20">
        <v>4</v>
      </c>
      <c r="J9" s="20">
        <v>4</v>
      </c>
      <c r="K9" s="20">
        <v>4</v>
      </c>
      <c r="L9" s="20">
        <v>4</v>
      </c>
      <c r="M9" s="20">
        <v>2</v>
      </c>
      <c r="N9" s="20">
        <v>4</v>
      </c>
      <c r="O9" s="20">
        <v>6</v>
      </c>
      <c r="P9" s="20">
        <v>6</v>
      </c>
      <c r="Q9" s="20">
        <v>4</v>
      </c>
      <c r="R9" s="20">
        <v>2</v>
      </c>
      <c r="S9" s="20">
        <v>6</v>
      </c>
      <c r="T9" s="20"/>
      <c r="U9" s="19">
        <f t="shared" si="0"/>
        <v>52</v>
      </c>
      <c r="V9" s="23"/>
      <c r="W9" s="20">
        <f t="shared" si="1"/>
        <v>52</v>
      </c>
      <c r="X9" s="20">
        <v>3</v>
      </c>
      <c r="Y9" s="20"/>
    </row>
    <row r="10" spans="1:26" ht="12.75">
      <c r="A10" s="20">
        <v>4</v>
      </c>
      <c r="B10" s="24" t="str">
        <f ca="1">IFERROR(__xludf.DUMMYFUNCTION("""COMPUTED_VALUE"""),"Чуносова Анастасия Дмитриевна")</f>
        <v>Чуносова Анастасия Дмитриевна</v>
      </c>
      <c r="C10" s="20">
        <v>708</v>
      </c>
      <c r="D10" s="76" t="s">
        <v>94</v>
      </c>
      <c r="E10" s="20">
        <f ca="1">IFERROR(__xludf.DUMMYFUNCTION("""COMPUTED_VALUE"""),7)</f>
        <v>7</v>
      </c>
      <c r="F10" s="24" t="str">
        <f ca="1">IFERROR(__xludf.DUMMYFUNCTION("""COMPUTED_VALUE"""),"Власова Татьяна Станиславовна")</f>
        <v>Власова Татьяна Станиславовна</v>
      </c>
      <c r="G10" s="20">
        <v>2</v>
      </c>
      <c r="H10" s="20">
        <v>2</v>
      </c>
      <c r="I10" s="20">
        <v>2</v>
      </c>
      <c r="J10" s="20">
        <v>2</v>
      </c>
      <c r="K10" s="20">
        <v>4</v>
      </c>
      <c r="L10" s="20">
        <v>2</v>
      </c>
      <c r="M10" s="20">
        <v>4</v>
      </c>
      <c r="N10" s="20">
        <v>6</v>
      </c>
      <c r="O10" s="20">
        <v>6</v>
      </c>
      <c r="P10" s="20">
        <v>4</v>
      </c>
      <c r="Q10" s="20">
        <v>4</v>
      </c>
      <c r="R10" s="20">
        <v>4</v>
      </c>
      <c r="S10" s="20">
        <v>6</v>
      </c>
      <c r="T10" s="20"/>
      <c r="U10" s="19">
        <f t="shared" si="0"/>
        <v>48</v>
      </c>
      <c r="V10" s="20"/>
      <c r="W10" s="20">
        <f t="shared" si="1"/>
        <v>48</v>
      </c>
      <c r="X10" s="20">
        <v>4</v>
      </c>
      <c r="Y10" s="20"/>
    </row>
    <row r="11" spans="1:26" ht="12.75">
      <c r="A11" s="20">
        <v>5</v>
      </c>
      <c r="B11" s="24" t="str">
        <f ca="1">IFERROR(__xludf.DUMMYFUNCTION("""COMPUTED_VALUE"""),"Волостнов Ярослав Алексеевич")</f>
        <v>Волостнов Ярослав Алексеевич</v>
      </c>
      <c r="C11" s="20">
        <v>706</v>
      </c>
      <c r="D11" s="76" t="s">
        <v>94</v>
      </c>
      <c r="E11" s="20">
        <f ca="1">IFERROR(__xludf.DUMMYFUNCTION("""COMPUTED_VALUE"""),7)</f>
        <v>7</v>
      </c>
      <c r="F11" s="24" t="str">
        <f ca="1">IFERROR(__xludf.DUMMYFUNCTION("""COMPUTED_VALUE"""),"Власова Татьяна Станиславовна")</f>
        <v>Власова Татьяна Станиславовна</v>
      </c>
      <c r="G11" s="20">
        <v>4</v>
      </c>
      <c r="H11" s="20">
        <v>2</v>
      </c>
      <c r="I11" s="20">
        <v>2</v>
      </c>
      <c r="J11" s="20">
        <v>2</v>
      </c>
      <c r="K11" s="20">
        <v>4</v>
      </c>
      <c r="L11" s="20">
        <v>4</v>
      </c>
      <c r="M11" s="20">
        <v>2</v>
      </c>
      <c r="N11" s="20">
        <v>6</v>
      </c>
      <c r="O11" s="20">
        <v>4</v>
      </c>
      <c r="P11" s="20">
        <v>4</v>
      </c>
      <c r="Q11" s="20">
        <v>6</v>
      </c>
      <c r="R11" s="20">
        <v>3</v>
      </c>
      <c r="S11" s="20">
        <v>0</v>
      </c>
      <c r="T11" s="20"/>
      <c r="U11" s="19">
        <f t="shared" si="0"/>
        <v>43</v>
      </c>
      <c r="V11" s="23"/>
      <c r="W11" s="20">
        <f t="shared" si="1"/>
        <v>43</v>
      </c>
      <c r="X11" s="20">
        <v>5</v>
      </c>
      <c r="Y11" s="20"/>
    </row>
    <row r="12" spans="1:26" ht="12.75">
      <c r="A12" s="20">
        <v>6</v>
      </c>
      <c r="B12" s="24" t="str">
        <f ca="1">IFERROR(__xludf.DUMMYFUNCTION("IMPORTRANGE(""https://docs.google.com/spreadsheets/d/16CWr8ky6L0i1S4UOLMYHizeHS6aZnIDEnQPyRJyTpcI/edit#gid=0"", ""СОШ №31!B13:O17"")"),"Батаргалиева Аида Ренатовна")</f>
        <v>Батаргалиева Аида Ренатовна</v>
      </c>
      <c r="C12" s="20">
        <v>716</v>
      </c>
      <c r="D12" s="24" t="str">
        <f ca="1">IFERROR(__xludf.DUMMYFUNCTION("""COMPUTED_VALUE"""),"МОУ ""СОШ №31""")</f>
        <v>МОУ "СОШ №31"</v>
      </c>
      <c r="E12" s="20">
        <f ca="1">IFERROR(__xludf.DUMMYFUNCTION("""COMPUTED_VALUE"""),7)</f>
        <v>7</v>
      </c>
      <c r="F12" s="24" t="str">
        <f ca="1">IFERROR(__xludf.DUMMYFUNCTION("""COMPUTED_VALUE"""),"Котлярова Евгения Владимировна")</f>
        <v>Котлярова Евгения Владимировна</v>
      </c>
      <c r="G12" s="19">
        <v>4</v>
      </c>
      <c r="H12" s="19">
        <v>1</v>
      </c>
      <c r="I12" s="19">
        <v>0</v>
      </c>
      <c r="J12" s="19">
        <v>1</v>
      </c>
      <c r="K12" s="19">
        <v>4</v>
      </c>
      <c r="L12" s="19">
        <v>3</v>
      </c>
      <c r="M12" s="19">
        <v>1</v>
      </c>
      <c r="N12" s="19">
        <v>6</v>
      </c>
      <c r="O12" s="19">
        <v>2</v>
      </c>
      <c r="P12" s="19">
        <v>6</v>
      </c>
      <c r="Q12" s="19">
        <v>3</v>
      </c>
      <c r="R12" s="19">
        <v>6</v>
      </c>
      <c r="S12" s="19">
        <v>6</v>
      </c>
      <c r="T12" s="19"/>
      <c r="U12" s="19">
        <f t="shared" si="0"/>
        <v>43</v>
      </c>
      <c r="V12" s="23"/>
      <c r="W12" s="20">
        <f t="shared" si="1"/>
        <v>43</v>
      </c>
      <c r="X12" s="20">
        <v>6</v>
      </c>
      <c r="Y12" s="20"/>
    </row>
    <row r="13" spans="1:26" ht="12.75">
      <c r="A13" s="20">
        <v>7</v>
      </c>
      <c r="B13" s="24" t="str">
        <f ca="1">IFERROR(__xludf.DUMMYFUNCTION("""COMPUTED_VALUE"""),"Скопинцева Василиса Викторовна")</f>
        <v>Скопинцева Василиса Викторовна</v>
      </c>
      <c r="C13" s="20">
        <v>710</v>
      </c>
      <c r="D13" s="76" t="s">
        <v>95</v>
      </c>
      <c r="E13" s="20">
        <f ca="1">IFERROR(__xludf.DUMMYFUNCTION("""COMPUTED_VALUE"""),7)</f>
        <v>7</v>
      </c>
      <c r="F13" s="24" t="str">
        <f ca="1">IFERROR(__xludf.DUMMYFUNCTION("""COMPUTED_VALUE"""),"Мешкова Екатерина Олеговна")</f>
        <v>Мешкова Екатерина Олеговна</v>
      </c>
      <c r="G13" s="20">
        <v>4</v>
      </c>
      <c r="H13" s="20">
        <v>2</v>
      </c>
      <c r="I13" s="20">
        <v>0</v>
      </c>
      <c r="J13" s="20">
        <v>4</v>
      </c>
      <c r="K13" s="20">
        <v>4</v>
      </c>
      <c r="L13" s="20">
        <v>4</v>
      </c>
      <c r="M13" s="20">
        <v>0</v>
      </c>
      <c r="N13" s="20">
        <v>6</v>
      </c>
      <c r="O13" s="20">
        <v>6</v>
      </c>
      <c r="P13" s="20">
        <v>0</v>
      </c>
      <c r="Q13" s="20">
        <v>2</v>
      </c>
      <c r="R13" s="20">
        <v>2</v>
      </c>
      <c r="S13" s="20">
        <v>0</v>
      </c>
      <c r="T13" s="20"/>
      <c r="U13" s="19">
        <f t="shared" si="0"/>
        <v>34</v>
      </c>
      <c r="V13" s="20"/>
      <c r="W13" s="20">
        <f t="shared" si="1"/>
        <v>34</v>
      </c>
      <c r="X13" s="20">
        <v>7</v>
      </c>
      <c r="Y13" s="20"/>
    </row>
    <row r="14" spans="1:26" ht="12.75">
      <c r="A14" s="20">
        <v>8</v>
      </c>
      <c r="B14" s="22" t="str">
        <f ca="1">IFERROR(__xludf.DUMMYFUNCTION("""COMPUTED_VALUE"""),"Попугаева Полина Алексеевна")</f>
        <v>Попугаева Полина Алексеевна</v>
      </c>
      <c r="C14" s="19">
        <v>701</v>
      </c>
      <c r="D14" s="76" t="s">
        <v>88</v>
      </c>
      <c r="E14" s="19">
        <f ca="1">IFERROR(__xludf.DUMMYFUNCTION("""COMPUTED_VALUE"""),7)</f>
        <v>7</v>
      </c>
      <c r="F14" s="22" t="str">
        <f ca="1">IFERROR(__xludf.DUMMYFUNCTION("""COMPUTED_VALUE"""),"Языкова Светлана Александровна")</f>
        <v>Языкова Светлана Александровна</v>
      </c>
      <c r="G14" s="19">
        <v>4</v>
      </c>
      <c r="H14" s="19">
        <v>2</v>
      </c>
      <c r="I14" s="19">
        <v>0</v>
      </c>
      <c r="J14" s="19">
        <v>0</v>
      </c>
      <c r="K14" s="19">
        <v>4</v>
      </c>
      <c r="L14" s="19">
        <v>4</v>
      </c>
      <c r="M14" s="19">
        <v>2</v>
      </c>
      <c r="N14" s="19">
        <v>0</v>
      </c>
      <c r="O14" s="19">
        <v>4</v>
      </c>
      <c r="P14" s="19">
        <v>0</v>
      </c>
      <c r="Q14" s="19">
        <v>6</v>
      </c>
      <c r="R14" s="19">
        <v>2</v>
      </c>
      <c r="S14" s="19">
        <v>0</v>
      </c>
      <c r="T14" s="19"/>
      <c r="U14" s="19">
        <f t="shared" si="0"/>
        <v>28</v>
      </c>
      <c r="V14" s="20"/>
      <c r="W14" s="20">
        <f t="shared" si="1"/>
        <v>28</v>
      </c>
      <c r="X14" s="20">
        <v>8</v>
      </c>
      <c r="Y14" s="20"/>
    </row>
    <row r="15" spans="1:26" ht="12.75">
      <c r="A15" s="20">
        <v>9</v>
      </c>
      <c r="B15" s="24" t="str">
        <f ca="1">IFERROR(__xludf.DUMMYFUNCTION("""COMPUTED_VALUE"""),"Останина Ольга Вячеславовна")</f>
        <v>Останина Ольга Вячеславовна</v>
      </c>
      <c r="C15" s="20">
        <v>712</v>
      </c>
      <c r="D15" s="24" t="str">
        <f ca="1">IFERROR(__xludf.DUMMYFUNCTION("""COMPUTED_VALUE"""),"МОУ ""СОШ №9""")</f>
        <v>МОУ "СОШ №9"</v>
      </c>
      <c r="E15" s="20">
        <f ca="1">IFERROR(__xludf.DUMMYFUNCTION("""COMPUTED_VALUE"""),7)</f>
        <v>7</v>
      </c>
      <c r="F15" s="24" t="str">
        <f ca="1">IFERROR(__xludf.DUMMYFUNCTION("""COMPUTED_VALUE"""),"Литовченко Любовь Викторовна")</f>
        <v>Литовченко Любовь Викторовна</v>
      </c>
      <c r="G15" s="20">
        <v>0</v>
      </c>
      <c r="H15" s="20">
        <v>0</v>
      </c>
      <c r="I15" s="20">
        <v>1</v>
      </c>
      <c r="J15" s="20">
        <v>4</v>
      </c>
      <c r="K15" s="20">
        <v>2</v>
      </c>
      <c r="L15" s="20">
        <v>3</v>
      </c>
      <c r="M15" s="20">
        <v>0</v>
      </c>
      <c r="N15" s="20">
        <v>4</v>
      </c>
      <c r="O15" s="20">
        <v>1</v>
      </c>
      <c r="P15" s="20">
        <v>6</v>
      </c>
      <c r="Q15" s="20">
        <v>2</v>
      </c>
      <c r="R15" s="20">
        <v>1</v>
      </c>
      <c r="S15" s="20">
        <v>2</v>
      </c>
      <c r="T15" s="20"/>
      <c r="U15" s="19">
        <f t="shared" si="0"/>
        <v>26</v>
      </c>
      <c r="V15" s="20"/>
      <c r="W15" s="20">
        <f t="shared" si="1"/>
        <v>26</v>
      </c>
      <c r="X15" s="20">
        <v>9</v>
      </c>
      <c r="Y15" s="20"/>
    </row>
    <row r="16" spans="1:26" ht="12.75">
      <c r="A16" s="20">
        <v>10</v>
      </c>
      <c r="B16" s="24" t="str">
        <f ca="1">IFERROR(__xludf.DUMMYFUNCTION("IMPORTRANGE(""https://docs.google.com/spreadsheets/d/16CWr8ky6L0i1S4UOLMYHizeHS6aZnIDEnQPyRJyTpcI/edit#gid=0"", ""СОШ №5!B13:O17"")"),"Шагера Ирина Дмитриевна")</f>
        <v>Шагера Ирина Дмитриевна</v>
      </c>
      <c r="C16" s="20">
        <v>709</v>
      </c>
      <c r="D16" s="76" t="s">
        <v>95</v>
      </c>
      <c r="E16" s="20">
        <f ca="1">IFERROR(__xludf.DUMMYFUNCTION("""COMPUTED_VALUE"""),7)</f>
        <v>7</v>
      </c>
      <c r="F16" s="24" t="str">
        <f ca="1">IFERROR(__xludf.DUMMYFUNCTION("""COMPUTED_VALUE"""),"Мешкова Екатерина Олеговна")</f>
        <v>Мешкова Екатерина Олеговна</v>
      </c>
      <c r="G16" s="20">
        <v>4</v>
      </c>
      <c r="H16" s="20">
        <v>0</v>
      </c>
      <c r="I16" s="20">
        <v>0</v>
      </c>
      <c r="J16" s="20">
        <v>4</v>
      </c>
      <c r="K16" s="20">
        <v>4</v>
      </c>
      <c r="L16" s="20">
        <v>0</v>
      </c>
      <c r="M16" s="20">
        <v>0</v>
      </c>
      <c r="N16" s="20">
        <v>6</v>
      </c>
      <c r="O16" s="20">
        <v>4</v>
      </c>
      <c r="P16" s="20">
        <v>0</v>
      </c>
      <c r="Q16" s="20">
        <v>2</v>
      </c>
      <c r="R16" s="20">
        <v>1</v>
      </c>
      <c r="S16" s="20">
        <v>0</v>
      </c>
      <c r="T16" s="20"/>
      <c r="U16" s="19">
        <f t="shared" si="0"/>
        <v>25</v>
      </c>
      <c r="V16" s="23"/>
      <c r="W16" s="20">
        <f t="shared" si="1"/>
        <v>25</v>
      </c>
      <c r="X16" s="20">
        <v>10</v>
      </c>
      <c r="Y16" s="20"/>
    </row>
    <row r="17" spans="1:25" ht="12.75">
      <c r="A17" s="20">
        <v>11</v>
      </c>
      <c r="B17" s="22" t="str">
        <f ca="1">IFERROR(__xludf.DUMMYFUNCTION("""COMPUTED_VALUE"""),"Карюк Екатерина Сергеевна")</f>
        <v>Карюк Екатерина Сергеевна</v>
      </c>
      <c r="C17" s="19">
        <v>707</v>
      </c>
      <c r="D17" s="76" t="s">
        <v>94</v>
      </c>
      <c r="E17" s="19">
        <f ca="1">IFERROR(__xludf.DUMMYFUNCTION("""COMPUTED_VALUE"""),7)</f>
        <v>7</v>
      </c>
      <c r="F17" s="22" t="str">
        <f ca="1">IFERROR(__xludf.DUMMYFUNCTION("""COMPUTED_VALUE"""),"Сибряева Надежда Васильевна")</f>
        <v>Сибряева Надежда Васильевна</v>
      </c>
      <c r="G17" s="20">
        <v>2</v>
      </c>
      <c r="H17" s="20">
        <v>2</v>
      </c>
      <c r="I17" s="20">
        <v>2</v>
      </c>
      <c r="J17" s="20">
        <v>2</v>
      </c>
      <c r="K17" s="20">
        <v>2</v>
      </c>
      <c r="L17" s="20">
        <v>2</v>
      </c>
      <c r="M17" s="20">
        <v>0</v>
      </c>
      <c r="N17" s="20">
        <v>2</v>
      </c>
      <c r="O17" s="20">
        <v>2</v>
      </c>
      <c r="P17" s="20">
        <v>2</v>
      </c>
      <c r="Q17" s="20">
        <v>4</v>
      </c>
      <c r="R17" s="20">
        <v>0</v>
      </c>
      <c r="S17" s="20">
        <v>0</v>
      </c>
      <c r="T17" s="20"/>
      <c r="U17" s="19">
        <f t="shared" si="0"/>
        <v>22</v>
      </c>
      <c r="V17" s="20"/>
      <c r="W17" s="20">
        <f t="shared" si="1"/>
        <v>22</v>
      </c>
      <c r="X17" s="20">
        <v>11</v>
      </c>
      <c r="Y17" s="20"/>
    </row>
    <row r="18" spans="1:25" ht="12.75">
      <c r="A18" s="20">
        <v>12</v>
      </c>
      <c r="B18" s="24" t="str">
        <f ca="1">IFERROR(__xludf.DUMMYFUNCTION("""COMPUTED_VALUE"""),"Абдулова Самира Юсиф-кызы ")</f>
        <v xml:space="preserve">Абдулова Самира Юсиф-кызы </v>
      </c>
      <c r="C18" s="20">
        <v>717</v>
      </c>
      <c r="D18" s="24" t="str">
        <f ca="1">IFERROR(__xludf.DUMMYFUNCTION("""COMPUTED_VALUE"""),"МОУ ""СОШ №31""")</f>
        <v>МОУ "СОШ №31"</v>
      </c>
      <c r="E18" s="20">
        <f ca="1">IFERROR(__xludf.DUMMYFUNCTION("""COMPUTED_VALUE"""),7)</f>
        <v>7</v>
      </c>
      <c r="F18" s="24" t="str">
        <f ca="1">IFERROR(__xludf.DUMMYFUNCTION("""COMPUTED_VALUE"""),"Котлярова Евгения Владимировна")</f>
        <v>Котлярова Евгения Владимировна</v>
      </c>
      <c r="G18" s="19">
        <v>2</v>
      </c>
      <c r="H18" s="19">
        <v>2</v>
      </c>
      <c r="I18" s="19">
        <v>2</v>
      </c>
      <c r="J18" s="19">
        <v>0</v>
      </c>
      <c r="K18" s="19">
        <v>2</v>
      </c>
      <c r="L18" s="19">
        <v>2</v>
      </c>
      <c r="M18" s="19">
        <v>0</v>
      </c>
      <c r="N18" s="19">
        <v>1</v>
      </c>
      <c r="O18" s="19">
        <v>0</v>
      </c>
      <c r="P18" s="19">
        <v>4</v>
      </c>
      <c r="Q18" s="19">
        <v>1</v>
      </c>
      <c r="R18" s="19">
        <v>1</v>
      </c>
      <c r="S18" s="19">
        <v>2</v>
      </c>
      <c r="T18" s="19"/>
      <c r="U18" s="19">
        <f t="shared" si="0"/>
        <v>19</v>
      </c>
      <c r="V18" s="23"/>
      <c r="W18" s="20">
        <f t="shared" si="1"/>
        <v>19</v>
      </c>
      <c r="X18" s="20">
        <v>12</v>
      </c>
      <c r="Y18" s="20"/>
    </row>
    <row r="19" spans="1:25" ht="12.75">
      <c r="A19" s="20">
        <v>13</v>
      </c>
      <c r="B19" s="24" t="str">
        <f ca="1">IFERROR(__xludf.DUMMYFUNCTION("""COMPUTED_VALUE"""),"Капралова Алена Сергеевна")</f>
        <v>Капралова Алена Сергеевна</v>
      </c>
      <c r="C19" s="20">
        <v>705</v>
      </c>
      <c r="D19" s="76" t="s">
        <v>94</v>
      </c>
      <c r="E19" s="20">
        <f ca="1">IFERROR(__xludf.DUMMYFUNCTION("""COMPUTED_VALUE"""),7)</f>
        <v>7</v>
      </c>
      <c r="F19" s="24" t="str">
        <f ca="1">IFERROR(__xludf.DUMMYFUNCTION("""COMPUTED_VALUE"""),"Власова Татьяна Станиславовна")</f>
        <v>Власова Татьяна Станиславовна</v>
      </c>
      <c r="G19" s="20">
        <v>2</v>
      </c>
      <c r="H19" s="20">
        <v>2</v>
      </c>
      <c r="I19" s="20">
        <v>2</v>
      </c>
      <c r="J19" s="20">
        <v>0</v>
      </c>
      <c r="K19" s="20">
        <v>0</v>
      </c>
      <c r="L19" s="20">
        <v>2</v>
      </c>
      <c r="M19" s="20">
        <v>2</v>
      </c>
      <c r="N19" s="20">
        <v>2</v>
      </c>
      <c r="O19" s="20">
        <v>2</v>
      </c>
      <c r="P19" s="20">
        <v>1</v>
      </c>
      <c r="Q19" s="20">
        <v>1</v>
      </c>
      <c r="R19" s="20">
        <v>2</v>
      </c>
      <c r="S19" s="20">
        <v>0</v>
      </c>
      <c r="T19" s="20"/>
      <c r="U19" s="19">
        <f t="shared" si="0"/>
        <v>18</v>
      </c>
      <c r="V19" s="20"/>
      <c r="W19" s="20">
        <f t="shared" si="1"/>
        <v>18</v>
      </c>
      <c r="X19" s="20">
        <v>13</v>
      </c>
      <c r="Y19" s="20"/>
    </row>
    <row r="20" spans="1:25" ht="12.75">
      <c r="A20" s="20">
        <v>14</v>
      </c>
      <c r="B20" s="24" t="str">
        <f ca="1">IFERROR(__xludf.DUMMYFUNCTION("""COMPUTED_VALUE"""),"Солдусова Кристина Андреевна")</f>
        <v>Солдусова Кристина Андреевна</v>
      </c>
      <c r="C20" s="20">
        <v>718</v>
      </c>
      <c r="D20" s="24" t="str">
        <f ca="1">IFERROR(__xludf.DUMMYFUNCTION("""COMPUTED_VALUE"""),"МОУ ""СОШ №31""")</f>
        <v>МОУ "СОШ №31"</v>
      </c>
      <c r="E20" s="20">
        <f ca="1">IFERROR(__xludf.DUMMYFUNCTION("""COMPUTED_VALUE"""),7)</f>
        <v>7</v>
      </c>
      <c r="F20" s="24" t="str">
        <f ca="1">IFERROR(__xludf.DUMMYFUNCTION("""COMPUTED_VALUE"""),"Котлярова Евгения Владимировна")</f>
        <v>Котлярова Евгения Владимировна</v>
      </c>
      <c r="G20" s="20">
        <v>1</v>
      </c>
      <c r="H20" s="20">
        <v>2</v>
      </c>
      <c r="I20" s="20">
        <v>2</v>
      </c>
      <c r="J20" s="20">
        <v>1</v>
      </c>
      <c r="K20" s="20">
        <v>2</v>
      </c>
      <c r="L20" s="20">
        <v>0</v>
      </c>
      <c r="M20" s="20">
        <v>1</v>
      </c>
      <c r="N20" s="20">
        <v>0</v>
      </c>
      <c r="O20" s="20">
        <v>1</v>
      </c>
      <c r="P20" s="20">
        <v>2</v>
      </c>
      <c r="Q20" s="20">
        <v>1</v>
      </c>
      <c r="R20" s="20">
        <v>0</v>
      </c>
      <c r="S20" s="20">
        <v>2</v>
      </c>
      <c r="T20" s="20"/>
      <c r="U20" s="19">
        <f t="shared" si="0"/>
        <v>15</v>
      </c>
      <c r="V20" s="23"/>
      <c r="W20" s="20">
        <f t="shared" si="1"/>
        <v>15</v>
      </c>
      <c r="X20" s="20">
        <v>14</v>
      </c>
      <c r="Y20" s="20"/>
    </row>
    <row r="21" spans="1:25" ht="12.75">
      <c r="A21" s="20">
        <v>15</v>
      </c>
      <c r="B21" s="25" t="str">
        <f ca="1">IFERROR(__xludf.DUMMYFUNCTION("IMPORTRANGE(""https://docs.google.com/spreadsheets/d/16CWr8ky6L0i1S4UOLMYHizeHS6aZnIDEnQPyRJyTpcI/edit#gid=0"", ""СОШ с. Зеленый Дол!B13:O17"")"),"Зибирова Дана Дмитриевна")</f>
        <v>Зибирова Дана Дмитриевна</v>
      </c>
      <c r="C21" s="19">
        <v>714</v>
      </c>
      <c r="D21" s="22" t="str">
        <f ca="1">IFERROR(__xludf.DUMMYFUNCTION("""COMPUTED_VALUE"""),"МОУ ""СОШ с. Зеленый Дол""")</f>
        <v>МОУ "СОШ с. Зеленый Дол"</v>
      </c>
      <c r="E21" s="19">
        <f ca="1">IFERROR(__xludf.DUMMYFUNCTION("""COMPUTED_VALUE"""),7)</f>
        <v>7</v>
      </c>
      <c r="F21" s="22" t="str">
        <f ca="1">IFERROR(__xludf.DUMMYFUNCTION("""COMPUTED_VALUE"""),"Абдулина Нуржамал Кайруевна")</f>
        <v>Абдулина Нуржамал Кайруевна</v>
      </c>
      <c r="G21" s="19">
        <v>2</v>
      </c>
      <c r="H21" s="19">
        <v>1</v>
      </c>
      <c r="I21" s="19">
        <v>0</v>
      </c>
      <c r="J21" s="19">
        <v>0</v>
      </c>
      <c r="K21" s="19">
        <v>0</v>
      </c>
      <c r="L21" s="19">
        <v>2</v>
      </c>
      <c r="M21" s="19">
        <v>0</v>
      </c>
      <c r="N21" s="19">
        <v>0</v>
      </c>
      <c r="O21" s="19">
        <v>0</v>
      </c>
      <c r="P21" s="19">
        <v>2</v>
      </c>
      <c r="Q21" s="19">
        <v>2</v>
      </c>
      <c r="R21" s="19">
        <v>1</v>
      </c>
      <c r="S21" s="19">
        <v>0</v>
      </c>
      <c r="T21" s="19"/>
      <c r="U21" s="19">
        <f t="shared" si="0"/>
        <v>10</v>
      </c>
      <c r="V21" s="23"/>
      <c r="W21" s="20">
        <f t="shared" si="1"/>
        <v>10</v>
      </c>
      <c r="X21" s="20">
        <v>15</v>
      </c>
      <c r="Y21" s="20"/>
    </row>
    <row r="22" spans="1:25" ht="12.75">
      <c r="A22" s="20">
        <v>16</v>
      </c>
      <c r="B22" s="24" t="str">
        <f ca="1">IFERROR(__xludf.DUMMYFUNCTION("""COMPUTED_VALUE"""),"Полешко Юлия Олеговна")</f>
        <v>Полешко Юлия Олеговна</v>
      </c>
      <c r="C22" s="20">
        <v>711</v>
      </c>
      <c r="D22" s="76" t="s">
        <v>93</v>
      </c>
      <c r="E22" s="20">
        <f ca="1">IFERROR(__xludf.DUMMYFUNCTION("""COMPUTED_VALUE"""),7)</f>
        <v>7</v>
      </c>
      <c r="F22" s="24" t="str">
        <f ca="1">IFERROR(__xludf.DUMMYFUNCTION("""COMPUTED_VALUE"""),"Баранова Оксана Анатольевна")</f>
        <v>Баранова Оксана Анатольевна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</v>
      </c>
      <c r="M22" s="20">
        <v>1</v>
      </c>
      <c r="N22" s="20">
        <v>2</v>
      </c>
      <c r="O22" s="20">
        <v>1</v>
      </c>
      <c r="P22" s="20">
        <v>0</v>
      </c>
      <c r="Q22" s="20">
        <v>2</v>
      </c>
      <c r="R22" s="20">
        <v>0</v>
      </c>
      <c r="S22" s="20">
        <v>0</v>
      </c>
      <c r="T22" s="20"/>
      <c r="U22" s="19">
        <f t="shared" si="0"/>
        <v>7</v>
      </c>
      <c r="V22" s="20"/>
      <c r="W22" s="20">
        <f t="shared" si="1"/>
        <v>7</v>
      </c>
      <c r="X22" s="20">
        <v>16</v>
      </c>
      <c r="Y22" s="20"/>
    </row>
    <row r="23" spans="1:25" ht="12.75">
      <c r="A23" s="20">
        <v>17</v>
      </c>
      <c r="B23" s="24" t="str">
        <f ca="1">IFERROR(__xludf.DUMMYFUNCTION("""COMPUTED_VALUE"""),"Базыма Кира Александровна")</f>
        <v>Базыма Кира Александровна</v>
      </c>
      <c r="C23" s="20">
        <v>715</v>
      </c>
      <c r="D23" s="76" t="s">
        <v>91</v>
      </c>
      <c r="E23" s="20">
        <f ca="1">IFERROR(__xludf.DUMMYFUNCTION("""COMPUTED_VALUE"""),7)</f>
        <v>7</v>
      </c>
      <c r="F23" s="24" t="str">
        <f ca="1">IFERROR(__xludf.DUMMYFUNCTION("""COMPUTED_VALUE"""),"Мотавкина Светлана Сергеевна")</f>
        <v>Мотавкина Светлана Сергеевна</v>
      </c>
      <c r="G23" s="19">
        <v>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2</v>
      </c>
      <c r="P23" s="19">
        <v>0</v>
      </c>
      <c r="Q23" s="19">
        <v>1</v>
      </c>
      <c r="R23" s="19">
        <v>1</v>
      </c>
      <c r="S23" s="19">
        <v>0</v>
      </c>
      <c r="T23" s="19"/>
      <c r="U23" s="19">
        <f t="shared" si="0"/>
        <v>6</v>
      </c>
      <c r="V23" s="23"/>
      <c r="W23" s="20">
        <f t="shared" si="1"/>
        <v>6</v>
      </c>
      <c r="X23" s="20">
        <v>17</v>
      </c>
      <c r="Y23" s="20"/>
    </row>
    <row r="24" spans="1:25" ht="12.75">
      <c r="A24" s="20">
        <v>18</v>
      </c>
      <c r="B24" s="25" t="str">
        <f ca="1">IFERROR(__xludf.DUMMYFUNCTION("IMPORTRANGE(""https://docs.google.com/spreadsheets/d/16CWr8ky6L0i1S4UOLMYHizeHS6aZnIDEnQPyRJyTpcI/edit#gid=0"", ""СОШ №24!B13:O17"")"),"Александров Виктор Александрович")</f>
        <v>Александров Виктор Александрович</v>
      </c>
      <c r="C24" s="20">
        <v>713</v>
      </c>
      <c r="D24" s="76" t="s">
        <v>92</v>
      </c>
      <c r="E24" s="20">
        <f ca="1">IFERROR(__xludf.DUMMYFUNCTION("""COMPUTED_VALUE"""),7)</f>
        <v>7</v>
      </c>
      <c r="F24" s="24" t="str">
        <f ca="1">IFERROR(__xludf.DUMMYFUNCTION("""COMPUTED_VALUE"""),"Моисеева Татьяна Владимировна")</f>
        <v>Моисеева Татьяна Владимировна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1</v>
      </c>
      <c r="M24" s="20">
        <v>0</v>
      </c>
      <c r="N24" s="20">
        <v>0</v>
      </c>
      <c r="O24" s="20">
        <v>0</v>
      </c>
      <c r="P24" s="20">
        <v>0</v>
      </c>
      <c r="Q24" s="20">
        <v>2</v>
      </c>
      <c r="R24" s="20">
        <v>0</v>
      </c>
      <c r="S24" s="20">
        <v>0</v>
      </c>
      <c r="T24" s="20"/>
      <c r="U24" s="19">
        <f t="shared" si="0"/>
        <v>3</v>
      </c>
      <c r="V24" s="23"/>
      <c r="W24" s="20">
        <f t="shared" si="1"/>
        <v>3</v>
      </c>
      <c r="X24" s="20">
        <v>18</v>
      </c>
      <c r="Y24" s="20"/>
    </row>
    <row r="25" spans="1:25" ht="12.75">
      <c r="A25" s="20">
        <v>19</v>
      </c>
      <c r="B25" s="22" t="str">
        <f ca="1">IFERROR(__xludf.DUMMYFUNCTION("""COMPUTED_VALUE"""),"Аксенов Роман Олегович")</f>
        <v>Аксенов Роман Олегович</v>
      </c>
      <c r="C25" s="19"/>
      <c r="D25" s="22" t="str">
        <f ca="1">IFERROR(__xludf.DUMMYFUNCTION("""COMPUTED_VALUE"""),"МОУ ""ООШ п. Прибрежный""")</f>
        <v>МОУ "ООШ п. Прибрежный"</v>
      </c>
      <c r="E25" s="19">
        <f ca="1">IFERROR(__xludf.DUMMYFUNCTION("""COMPUTED_VALUE"""),7)</f>
        <v>7</v>
      </c>
      <c r="F25" s="22" t="str">
        <f ca="1">IFERROR(__xludf.DUMMYFUNCTION("""COMPUTED_VALUE"""),"Пономарева Надежда Анатольевна")</f>
        <v>Пономарева Надежда Анатольевна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9"/>
      <c r="V25" s="23"/>
      <c r="W25" s="20"/>
      <c r="X25" s="20"/>
      <c r="Y25" s="20"/>
    </row>
    <row r="26" spans="1:25" ht="12.75">
      <c r="A26" s="20">
        <v>20</v>
      </c>
      <c r="B26" s="24" t="str">
        <f ca="1">IFERROR(__xludf.DUMMYFUNCTION("""COMPUTED_VALUE"""),"Дубинина Арианна Анатольевна")</f>
        <v>Дубинина Арианна Анатольевна</v>
      </c>
      <c r="C26" s="20"/>
      <c r="D26" s="76" t="s">
        <v>91</v>
      </c>
      <c r="E26" s="20">
        <f ca="1">IFERROR(__xludf.DUMMYFUNCTION("""COMPUTED_VALUE"""),7)</f>
        <v>7</v>
      </c>
      <c r="F26" s="24" t="str">
        <f ca="1">IFERROR(__xludf.DUMMYFUNCTION("""COMPUTED_VALUE"""),"Мотавкина Светлана Сергеевна")</f>
        <v>Мотавкина Светлана Сергеевна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9"/>
      <c r="V26" s="23"/>
      <c r="W26" s="20"/>
      <c r="X26" s="20"/>
      <c r="Y26" s="20"/>
    </row>
    <row r="27" spans="1:25" ht="12.75">
      <c r="A27" s="20">
        <v>21</v>
      </c>
      <c r="B27" s="22" t="str">
        <f ca="1">IFERROR(__xludf.DUMMYFUNCTION("""COMPUTED_VALUE"""),"Куц Дмитрий ")</f>
        <v xml:space="preserve">Куц Дмитрий </v>
      </c>
      <c r="C27" s="19"/>
      <c r="D27" s="22" t="str">
        <f ca="1">IFERROR(__xludf.DUMMYFUNCTION("""COMPUTED_VALUE"""),"МОУ ""СОШ №31""")</f>
        <v>МОУ "СОШ №31"</v>
      </c>
      <c r="E27" s="19">
        <f ca="1">IFERROR(__xludf.DUMMYFUNCTION("""COMPUTED_VALUE"""),7)</f>
        <v>7</v>
      </c>
      <c r="F27" s="22" t="str">
        <f ca="1">IFERROR(__xludf.DUMMYFUNCTION("""COMPUTED_VALUE"""),"Котлярова Евгения Владимировна")</f>
        <v>Котлярова Евгения Владимировна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9"/>
      <c r="V27" s="23"/>
      <c r="W27" s="20"/>
      <c r="X27" s="20"/>
      <c r="Y27" s="20"/>
    </row>
    <row r="28" spans="1:25" ht="12.75">
      <c r="A28" s="20">
        <v>22</v>
      </c>
      <c r="B28" s="24" t="str">
        <f ca="1">IFERROR(__xludf.DUMMYFUNCTION("""COMPUTED_VALUE"""),"Овчинников Михаил Александрович")</f>
        <v>Овчинников Михаил Александрович</v>
      </c>
      <c r="C28" s="20"/>
      <c r="D28" s="76" t="s">
        <v>92</v>
      </c>
      <c r="E28" s="20">
        <f ca="1">IFERROR(__xludf.DUMMYFUNCTION("""COMPUTED_VALUE"""),7)</f>
        <v>7</v>
      </c>
      <c r="F28" s="24" t="str">
        <f ca="1">IFERROR(__xludf.DUMMYFUNCTION("""COMPUTED_VALUE"""),"Моисеева Татьяна Владимировна")</f>
        <v>Моисеева Татьяна Владимировна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9"/>
      <c r="V28" s="23"/>
      <c r="W28" s="20"/>
      <c r="X28" s="20"/>
      <c r="Y28" s="20"/>
    </row>
    <row r="29" spans="1:25" ht="12.75">
      <c r="A29" s="20">
        <v>23</v>
      </c>
      <c r="B29" s="24" t="str">
        <f ca="1">IFERROR(__xludf.DUMMYFUNCTION("""COMPUTED_VALUE"""),"Останина Ольга Вячеславовна")</f>
        <v>Останина Ольга Вячеславовна</v>
      </c>
      <c r="C29" s="20"/>
      <c r="D29" s="24" t="str">
        <f ca="1">IFERROR(__xludf.DUMMYFUNCTION("""COMPUTED_VALUE"""),"МОУ ""СОШ №9""")</f>
        <v>МОУ "СОШ №9"</v>
      </c>
      <c r="E29" s="20">
        <f ca="1">IFERROR(__xludf.DUMMYFUNCTION("""COMPUTED_VALUE"""),7)</f>
        <v>7</v>
      </c>
      <c r="F29" s="24" t="str">
        <f ca="1">IFERROR(__xludf.DUMMYFUNCTION("""COMPUTED_VALUE"""),"Литовченко Любовь Викторовна")</f>
        <v>Литовченко Любовь Викторовна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9"/>
      <c r="V29" s="23"/>
      <c r="W29" s="20"/>
      <c r="X29" s="20"/>
      <c r="Y29" s="20"/>
    </row>
    <row r="30" spans="1:25" ht="12.75">
      <c r="A30" s="20">
        <v>24</v>
      </c>
      <c r="B30" s="22" t="str">
        <f ca="1">IFERROR(__xludf.DUMMYFUNCTION("""COMPUTED_VALUE"""),"Поздеев Никита Андреевич")</f>
        <v>Поздеев Никита Андреевич</v>
      </c>
      <c r="C30" s="19"/>
      <c r="D30" s="76" t="s">
        <v>88</v>
      </c>
      <c r="E30" s="19">
        <f ca="1">IFERROR(__xludf.DUMMYFUNCTION("""COMPUTED_VALUE"""),7)</f>
        <v>7</v>
      </c>
      <c r="F30" s="22" t="str">
        <f ca="1">IFERROR(__xludf.DUMMYFUNCTION("""COMPUTED_VALUE"""),"Языкова Светлана Александровна")</f>
        <v>Языкова Светлана Александровна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3"/>
      <c r="W30" s="20"/>
      <c r="X30" s="20"/>
      <c r="Y30" s="20"/>
    </row>
    <row r="31" spans="1:25" ht="12.75">
      <c r="A31" s="20">
        <v>25</v>
      </c>
      <c r="B31" s="22" t="str">
        <f ca="1">IFERROR(__xludf.DUMMYFUNCTION("""COMPUTED_VALUE"""),"Ситботалов Тимур Альбекович")</f>
        <v>Ситботалов Тимур Альбекович</v>
      </c>
      <c r="C31" s="19"/>
      <c r="D31" s="22" t="str">
        <f ca="1">IFERROR(__xludf.DUMMYFUNCTION("""COMPUTED_VALUE"""),"МОУ ""СОШ с. Зеленый Дол""")</f>
        <v>МОУ "СОШ с. Зеленый Дол"</v>
      </c>
      <c r="E31" s="19">
        <f ca="1">IFERROR(__xludf.DUMMYFUNCTION("""COMPUTED_VALUE"""),7)</f>
        <v>7</v>
      </c>
      <c r="F31" s="22" t="str">
        <f ca="1">IFERROR(__xludf.DUMMYFUNCTION("""COMPUTED_VALUE"""),"Абдулина Нуржамал Кайруевна")</f>
        <v>Абдулина Нуржамал Кайруевна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3"/>
      <c r="W31" s="20"/>
      <c r="X31" s="20"/>
      <c r="Y31" s="20"/>
    </row>
    <row r="32" spans="1:25" ht="12.75">
      <c r="A32" s="20">
        <v>26</v>
      </c>
      <c r="B32" s="24" t="str">
        <f ca="1">IFERROR(__xludf.DUMMYFUNCTION("""COMPUTED_VALUE"""),"Федкулина Яна Ренатовна")</f>
        <v>Федкулина Яна Ренатовна</v>
      </c>
      <c r="C32" s="20"/>
      <c r="D32" s="76" t="s">
        <v>88</v>
      </c>
      <c r="E32" s="20">
        <f ca="1">IFERROR(__xludf.DUMMYFUNCTION("""COMPUTED_VALUE"""),7)</f>
        <v>7</v>
      </c>
      <c r="F32" s="24" t="str">
        <f ca="1">IFERROR(__xludf.DUMMYFUNCTION("""COMPUTED_VALUE"""),"Языкова Светлана Александровна")</f>
        <v>Языкова Светлана Александровна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20"/>
    </row>
    <row r="33" spans="1:25" ht="12.75">
      <c r="A33" s="20">
        <v>27</v>
      </c>
      <c r="B33" s="22" t="str">
        <f ca="1">IFERROR(__xludf.DUMMYFUNCTION("""COMPUTED_VALUE"""),"Цабан Николай Николаевич")</f>
        <v>Цабан Николай Николаевич</v>
      </c>
      <c r="C33" s="19"/>
      <c r="D33" s="76" t="s">
        <v>88</v>
      </c>
      <c r="E33" s="19">
        <f ca="1">IFERROR(__xludf.DUMMYFUNCTION("""COMPUTED_VALUE"""),7)</f>
        <v>7</v>
      </c>
      <c r="F33" s="22" t="str">
        <f ca="1">IFERROR(__xludf.DUMMYFUNCTION("""COMPUTED_VALUE"""),"Языкова Светлана Александровна")</f>
        <v>Языкова Светлана Александровна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3"/>
      <c r="W33" s="20"/>
      <c r="X33" s="20"/>
      <c r="Y33" s="20"/>
    </row>
    <row r="34" spans="1:25" ht="12.75" hidden="1">
      <c r="A34" s="20">
        <v>27</v>
      </c>
      <c r="B34" s="24" t="str">
        <f ca="1">IFERROR(__xludf.DUMMYFUNCTION("""COMPUTED_VALUE"""),"Ктанов Ильяс Арманович")</f>
        <v>Ктанов Ильяс Арманович</v>
      </c>
      <c r="C34" s="20"/>
      <c r="D34" s="24" t="str">
        <f ca="1">IFERROR(__xludf.DUMMYFUNCTION("""COMPUTED_VALUE"""),"МОУ ""СОШ им. Ю.А. Гагарина """)</f>
        <v>МОУ "СОШ им. Ю.А. Гагарина "</v>
      </c>
      <c r="E34" s="20">
        <f ca="1">IFERROR(__xludf.DUMMYFUNCTION("""COMPUTED_VALUE"""),7)</f>
        <v>7</v>
      </c>
      <c r="F34" s="24" t="str">
        <f ca="1">IFERROR(__xludf.DUMMYFUNCTION("""COMPUTED_VALUE"""),"Мищенко Ирина Николаевна")</f>
        <v>Мищенко Ирина Николаевна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3"/>
      <c r="W34" s="20"/>
      <c r="X34" s="20"/>
      <c r="Y34" s="20"/>
    </row>
    <row r="35" spans="1:25" ht="12.75" hidden="1">
      <c r="A35" s="20">
        <v>27</v>
      </c>
      <c r="B35" s="24" t="str">
        <f ca="1">IFERROR(__xludf.DUMMYFUNCTION("""COMPUTED_VALUE"""),"Алтынбаев Хамза Рустамович")</f>
        <v>Алтынбаев Хамза Рустамович</v>
      </c>
      <c r="C35" s="20"/>
      <c r="D35" s="24" t="str">
        <f ca="1">IFERROR(__xludf.DUMMYFUNCTION("""COMPUTED_VALUE"""),"МОУ ""СОШ №24""")</f>
        <v>МОУ "СОШ №24"</v>
      </c>
      <c r="E35" s="20">
        <f ca="1">IFERROR(__xludf.DUMMYFUNCTION("""COMPUTED_VALUE"""),7)</f>
        <v>7</v>
      </c>
      <c r="F35" s="24" t="str">
        <f ca="1">IFERROR(__xludf.DUMMYFUNCTION("""COMPUTED_VALUE"""),"Моисеева Татьяна Владимировна")</f>
        <v>Моисеева Татьяна Владимировна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3"/>
      <c r="W35" s="20"/>
      <c r="X35" s="20"/>
      <c r="Y35" s="20"/>
    </row>
    <row r="36" spans="1:25" ht="12.75" hidden="1">
      <c r="A36" s="20">
        <v>27</v>
      </c>
      <c r="B36" s="24" t="str">
        <f ca="1">IFERROR(__xludf.DUMMYFUNCTION("""COMPUTED_VALUE"""),"Сорокин Николай Николаевич")</f>
        <v>Сорокин Николай Николаевич</v>
      </c>
      <c r="C36" s="20"/>
      <c r="D36" s="24" t="str">
        <f ca="1">IFERROR(__xludf.DUMMYFUNCTION("""COMPUTED_VALUE"""),"МОУ ""СОШ №33""")</f>
        <v>МОУ "СОШ №33"</v>
      </c>
      <c r="E36" s="20">
        <f ca="1">IFERROR(__xludf.DUMMYFUNCTION("""COMPUTED_VALUE"""),7)</f>
        <v>7</v>
      </c>
      <c r="F36" s="24" t="str">
        <f ca="1">IFERROR(__xludf.DUMMYFUNCTION("""COMPUTED_VALUE"""),"Власова Татьяна Станиславовна")</f>
        <v>Власова Татьяна Станиславовна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3"/>
      <c r="W36" s="20"/>
      <c r="X36" s="20"/>
      <c r="Y36" s="20"/>
    </row>
    <row r="37" spans="1:25" ht="12.75" hidden="1">
      <c r="A37" s="20">
        <v>27</v>
      </c>
      <c r="B37" s="24" t="str">
        <f ca="1">IFERROR(__xludf.DUMMYFUNCTION("""COMPUTED_VALUE"""),"Чаплыгина Любовь  Владимировна")</f>
        <v>Чаплыгина Любовь  Владимировна</v>
      </c>
      <c r="C37" s="20"/>
      <c r="D37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7" s="20">
        <f ca="1">IFERROR(__xludf.DUMMYFUNCTION("""COMPUTED_VALUE"""),7)</f>
        <v>7</v>
      </c>
      <c r="F37" s="24" t="str">
        <f ca="1">IFERROR(__xludf.DUMMYFUNCTION("""COMPUTED_VALUE"""),"Языкова Светлана Александровна")</f>
        <v>Языкова Светлана Александровна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3"/>
      <c r="W37" s="20"/>
      <c r="X37" s="20"/>
      <c r="Y37" s="20"/>
    </row>
    <row r="38" spans="1:25" ht="12.75" hidden="1">
      <c r="A38" s="20">
        <v>27</v>
      </c>
      <c r="B38" s="24" t="str">
        <f ca="1">IFERROR(__xludf.DUMMYFUNCTION("""COMPUTED_VALUE"""),"Федорова Анна Алексеевна")</f>
        <v>Федорова Анна Алексеевна</v>
      </c>
      <c r="C38" s="20"/>
      <c r="D38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38" s="20">
        <f ca="1">IFERROR(__xludf.DUMMYFUNCTION("""COMPUTED_VALUE"""),7)</f>
        <v>7</v>
      </c>
      <c r="F38" s="24" t="str">
        <f ca="1">IFERROR(__xludf.DUMMYFUNCTION("""COMPUTED_VALUE"""),"Языкова Светлана Александровна")</f>
        <v>Языкова Светлана Александровна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3"/>
      <c r="W38" s="20"/>
      <c r="X38" s="20"/>
      <c r="Y38" s="20"/>
    </row>
    <row r="39" spans="1:25" ht="12.75" hidden="1">
      <c r="A39" s="20">
        <v>27</v>
      </c>
      <c r="B39" s="25" t="str">
        <f ca="1">IFERROR(__xludf.DUMMYFUNCTION("IMPORTRANGE(""https://docs.google.com/spreadsheets/d/16CWr8ky6L0i1S4UOLMYHizeHS6aZnIDEnQPyRJyTpcI/edit#gid=0"", ""МЭЛ!B13:O17"")"),"Игнатьева Анна Леонидовна")</f>
        <v>Игнатьева Анна Леонидовна</v>
      </c>
      <c r="C39" s="20"/>
      <c r="D39" s="24" t="str">
        <f ca="1">IFERROR(__xludf.DUMMYFUNCTION("""COMPUTED_VALUE"""),"МОУ ""МЭЛ им. Шнитке А.Г.""")</f>
        <v>МОУ "МЭЛ им. Шнитке А.Г."</v>
      </c>
      <c r="E39" s="20">
        <f ca="1">IFERROR(__xludf.DUMMYFUNCTION("""COMPUTED_VALUE"""),7)</f>
        <v>7</v>
      </c>
      <c r="F39" s="24" t="str">
        <f ca="1">IFERROR(__xludf.DUMMYFUNCTION("""COMPUTED_VALUE"""),"Мотавкина Светлана Сергеевна")</f>
        <v>Мотавкина Светлана Сергеевна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3"/>
      <c r="W39" s="20"/>
      <c r="X39" s="20"/>
      <c r="Y39" s="20"/>
    </row>
    <row r="40" spans="1:25" ht="12.75" hidden="1">
      <c r="A40" s="20">
        <v>27</v>
      </c>
      <c r="B40" s="25" t="str">
        <f ca="1">IFERROR(__xludf.DUMMYFUNCTION("IMPORTRANGE(""https://docs.google.com/spreadsheets/d/16CWr8ky6L0i1S4UOLMYHizeHS6aZnIDEnQPyRJyTpcI/edit#gid=0"", ""СОШ с. Березовка!B13:O17"")"),"Калашникова Екатерина Александровна ")</f>
        <v xml:space="preserve">Калашникова Екатерина Александровна </v>
      </c>
      <c r="C40" s="19"/>
      <c r="D40" s="22" t="str">
        <f ca="1">IFERROR(__xludf.DUMMYFUNCTION("""COMPUTED_VALUE"""),"МОУ ""СОШ с. Березовка""")</f>
        <v>МОУ "СОШ с. Березовка"</v>
      </c>
      <c r="E40" s="19">
        <f ca="1">IFERROR(__xludf.DUMMYFUNCTION("""COMPUTED_VALUE"""),7)</f>
        <v>7</v>
      </c>
      <c r="F40" s="22" t="str">
        <f ca="1">IFERROR(__xludf.DUMMYFUNCTION("""COMPUTED_VALUE"""),"Турсумбек Нагима Айгалиевна")</f>
        <v>Турсумбек Нагима Айгалиевна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3"/>
      <c r="W40" s="20"/>
      <c r="X40" s="20"/>
      <c r="Y40" s="20"/>
    </row>
    <row r="41" spans="1:25" ht="12.75" hidden="1">
      <c r="A41" s="20">
        <v>27</v>
      </c>
      <c r="B41" s="25" t="str">
        <f ca="1">IFERROR(__xludf.DUMMYFUNCTION("IMPORTRANGE(""https://docs.google.com/spreadsheets/d/16CWr8ky6L0i1S4UOLMYHizeHS6aZnIDEnQPyRJyTpcI/edit#gid=0"", ""ООШ с. Ленинское!B13:O17"")"),"Коткова Анна Павловна")</f>
        <v>Коткова Анна Павловна</v>
      </c>
      <c r="C41" s="19"/>
      <c r="D41" s="22" t="str">
        <f ca="1">IFERROR(__xludf.DUMMYFUNCTION("""COMPUTED_VALUE"""),"МОУ ""ООШ с. Ленинское""")</f>
        <v>МОУ "ООШ с. Ленинское"</v>
      </c>
      <c r="E41" s="19">
        <f ca="1">IFERROR(__xludf.DUMMYFUNCTION("""COMPUTED_VALUE"""),7)</f>
        <v>7</v>
      </c>
      <c r="F41" s="22" t="str">
        <f ca="1">IFERROR(__xludf.DUMMYFUNCTION("""COMPUTED_VALUE"""),"Савиных Людмила Васильевна")</f>
        <v>Савиных Людмила Васильевна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3"/>
      <c r="W41" s="20"/>
      <c r="X41" s="20"/>
      <c r="Y41" s="20"/>
    </row>
    <row r="42" spans="1:25" ht="12.75" hidden="1">
      <c r="A42" s="20">
        <v>27</v>
      </c>
      <c r="B42" s="22" t="str">
        <f ca="1">IFERROR(__xludf.DUMMYFUNCTION("""COMPUTED_VALUE"""),"Квиндт Дмитрий Владимирович")</f>
        <v>Квиндт Дмитрий Владимирович</v>
      </c>
      <c r="C42" s="19"/>
      <c r="D42" s="22" t="str">
        <f ca="1">IFERROR(__xludf.DUMMYFUNCTION("""COMPUTED_VALUE"""),"МОУ ""ООШ с. Ленинское""")</f>
        <v>МОУ "ООШ с. Ленинское"</v>
      </c>
      <c r="E42" s="19">
        <f ca="1">IFERROR(__xludf.DUMMYFUNCTION("""COMPUTED_VALUE"""),7)</f>
        <v>7</v>
      </c>
      <c r="F42" s="22" t="str">
        <f ca="1">IFERROR(__xludf.DUMMYFUNCTION("""COMPUTED_VALUE"""),"Савиных Людмила Васильевна")</f>
        <v>Савиных Людмила Васильевна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3"/>
      <c r="W42" s="20"/>
      <c r="X42" s="20"/>
      <c r="Y42" s="20"/>
    </row>
    <row r="43" spans="1:25" ht="12.75" hidden="1">
      <c r="A43" s="20">
        <v>27</v>
      </c>
      <c r="B43" s="22" t="str">
        <f ca="1">IFERROR(__xludf.DUMMYFUNCTION("""COMPUTED_VALUE"""),"Зотова Алиса Дмитриевна")</f>
        <v>Зотова Алиса Дмитриевна</v>
      </c>
      <c r="C43" s="19"/>
      <c r="D43" s="22" t="str">
        <f ca="1">IFERROR(__xludf.DUMMYFUNCTION("""COMPUTED_VALUE"""),"МОУ ""СОШ с. Шумейка""")</f>
        <v>МОУ "СОШ с. Шумейка"</v>
      </c>
      <c r="E43" s="19">
        <f ca="1">IFERROR(__xludf.DUMMYFUNCTION("""COMPUTED_VALUE"""),7)</f>
        <v>7</v>
      </c>
      <c r="F43" s="22" t="str">
        <f ca="1">IFERROR(__xludf.DUMMYFUNCTION("""COMPUTED_VALUE"""),"Полякова Наталия Викторовна")</f>
        <v>Полякова Наталия Викторовна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3"/>
      <c r="W43" s="20"/>
      <c r="X43" s="20"/>
      <c r="Y43" s="20"/>
    </row>
    <row r="44" spans="1:25" ht="12.75" hidden="1">
      <c r="A44" s="20">
        <v>27</v>
      </c>
      <c r="B44" s="25" t="str">
        <f ca="1">IFERROR(__xludf.DUMMYFUNCTION("IMPORTRANGE(""https://docs.google.com/spreadsheets/d/16CWr8ky6L0i1S4UOLMYHizeHS6aZnIDEnQPyRJyTpcI/edit#gid=0"", ""ООШ п. Прибрежный!B13:O17"")"),"Самойлова Наталья Алексеевна")</f>
        <v>Самойлова Наталья Алексеевна</v>
      </c>
      <c r="C44" s="19"/>
      <c r="D44" s="22" t="str">
        <f ca="1">IFERROR(__xludf.DUMMYFUNCTION("""COMPUTED_VALUE"""),"МОУ ""ООШ п. Прибрежный""")</f>
        <v>МОУ "ООШ п. Прибрежный"</v>
      </c>
      <c r="E44" s="19">
        <f ca="1">IFERROR(__xludf.DUMMYFUNCTION("""COMPUTED_VALUE"""),7)</f>
        <v>7</v>
      </c>
      <c r="F44" s="22" t="str">
        <f ca="1">IFERROR(__xludf.DUMMYFUNCTION("""COMPUTED_VALUE"""),"Пономарева Надежда Анатольевна")</f>
        <v>Пономарева Надежда Анатольевна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3"/>
      <c r="W44" s="20"/>
      <c r="X44" s="20"/>
      <c r="Y44" s="20"/>
    </row>
    <row r="45" spans="1:25" ht="12.75" hidden="1">
      <c r="A45" s="20">
        <v>27</v>
      </c>
      <c r="B45" s="22" t="str">
        <f ca="1">IFERROR(__xludf.DUMMYFUNCTION("""COMPUTED_VALUE"""),"Семёнов Сергей")</f>
        <v>Семёнов Сергей</v>
      </c>
      <c r="C45" s="19"/>
      <c r="D45" s="22" t="str">
        <f ca="1">IFERROR(__xludf.DUMMYFUNCTION("""COMPUTED_VALUE"""),"МОУ ""СОШ №31""")</f>
        <v>МОУ "СОШ №31"</v>
      </c>
      <c r="E45" s="19">
        <f ca="1">IFERROR(__xludf.DUMMYFUNCTION("""COMPUTED_VALUE"""),7)</f>
        <v>7</v>
      </c>
      <c r="F45" s="22" t="str">
        <f ca="1">IFERROR(__xludf.DUMMYFUNCTION("""COMPUTED_VALUE"""),"Котлярова Евгения Владимировна")</f>
        <v>Котлярова Евгения Владимировна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3"/>
      <c r="W45" s="20"/>
      <c r="X45" s="20"/>
      <c r="Y45" s="20"/>
    </row>
    <row r="46" spans="1:25" ht="12.75" hidden="1">
      <c r="A46" s="20">
        <v>27</v>
      </c>
      <c r="B46" s="22" t="str">
        <f ca="1">IFERROR(__xludf.DUMMYFUNCTION("""COMPUTED_VALUE"""),"Землянская Ксения Евгеньевна")</f>
        <v>Землянская Ксения Евгеньевна</v>
      </c>
      <c r="C46" s="19"/>
      <c r="D46" s="2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6" s="19">
        <f ca="1">IFERROR(__xludf.DUMMYFUNCTION("""COMPUTED_VALUE"""),7)</f>
        <v>7</v>
      </c>
      <c r="F46" s="22" t="str">
        <f ca="1">IFERROR(__xludf.DUMMYFUNCTION("""COMPUTED_VALUE"""),"Языкова Светлана Александровна")</f>
        <v>Языкова Светлана Александровна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3"/>
      <c r="W46" s="20"/>
      <c r="X46" s="20"/>
      <c r="Y46" s="20"/>
    </row>
    <row r="47" spans="1:25" ht="12.75" hidden="1">
      <c r="A47" s="20">
        <v>27</v>
      </c>
      <c r="B47" s="22" t="str">
        <f ca="1">IFERROR(__xludf.DUMMYFUNCTION("""COMPUTED_VALUE"""),"Столбун Кирилл Максимович")</f>
        <v>Столбун Кирилл Максимович</v>
      </c>
      <c r="C47" s="19"/>
      <c r="D47" s="2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47" s="19">
        <f ca="1">IFERROR(__xludf.DUMMYFUNCTION("""COMPUTED_VALUE"""),7)</f>
        <v>7</v>
      </c>
      <c r="F47" s="22" t="str">
        <f ca="1">IFERROR(__xludf.DUMMYFUNCTION("""COMPUTED_VALUE"""),"Языкова Светлана Александровна")</f>
        <v>Языкова Светлана Александровна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3"/>
      <c r="W47" s="20"/>
      <c r="X47" s="20"/>
      <c r="Y47" s="20"/>
    </row>
    <row r="48" spans="1:25" ht="12.75" hidden="1">
      <c r="A48" s="20">
        <v>27</v>
      </c>
      <c r="B48" s="25" t="str">
        <f ca="1">IFERROR(__xludf.DUMMYFUNCTION("IMPORTRANGE(""https://docs.google.com/spreadsheets/d/16CWr8ky6L0i1S4UOLMYHizeHS6aZnIDEnQPyRJyTpcI/edit#gid=0"", ""СОШ с. Шумейка!B18:O20"")"),"Москвина Инна Денисовна ")</f>
        <v xml:space="preserve">Москвина Инна Денисовна </v>
      </c>
      <c r="C48" s="19"/>
      <c r="D48" s="22" t="str">
        <f ca="1">IFERROR(__xludf.DUMMYFUNCTION("""COMPUTED_VALUE"""),"МОУ ""СОШ с. Шумейка""")</f>
        <v>МОУ "СОШ с. Шумейка"</v>
      </c>
      <c r="E48" s="19">
        <f ca="1">IFERROR(__xludf.DUMMYFUNCTION("""COMPUTED_VALUE"""),7)</f>
        <v>7</v>
      </c>
      <c r="F48" s="22" t="str">
        <f ca="1">IFERROR(__xludf.DUMMYFUNCTION("""COMPUTED_VALUE"""),"Полякова Наталия Викторовна")</f>
        <v>Полякова Наталия Викторовна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3"/>
      <c r="W48" s="20"/>
      <c r="X48" s="20"/>
      <c r="Y48" s="20"/>
    </row>
    <row r="49" spans="1:25" ht="12.75" hidden="1">
      <c r="A49" s="20">
        <v>27</v>
      </c>
      <c r="B49" s="22" t="str">
        <f ca="1">IFERROR(__xludf.DUMMYFUNCTION("""COMPUTED_VALUE"""),"Самойлов Данила Игоревич")</f>
        <v>Самойлов Данила Игоревич</v>
      </c>
      <c r="C49" s="19"/>
      <c r="D49" s="22" t="str">
        <f ca="1">IFERROR(__xludf.DUMMYFUNCTION("""COMPUTED_VALUE"""),"МОУ ""СОШ с. Шумейка""")</f>
        <v>МОУ "СОШ с. Шумейка"</v>
      </c>
      <c r="E49" s="19">
        <f ca="1">IFERROR(__xludf.DUMMYFUNCTION("""COMPUTED_VALUE"""),7)</f>
        <v>7</v>
      </c>
      <c r="F49" s="22" t="str">
        <f ca="1">IFERROR(__xludf.DUMMYFUNCTION("""COMPUTED_VALUE"""),"Полякова Наталия Викторовна")</f>
        <v>Полякова Наталия Викторовна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3"/>
      <c r="W49" s="20"/>
      <c r="X49" s="20"/>
      <c r="Y49" s="20"/>
    </row>
    <row r="50" spans="1:25" ht="12.75" hidden="1">
      <c r="A50" s="20">
        <v>27</v>
      </c>
      <c r="B50" s="25" t="str">
        <f ca="1">IFERROR(__xludf.DUMMYFUNCTION("IMPORTRANGE(""https://docs.google.com/spreadsheets/d/16CWr8ky6L0i1S4UOLMYHizeHS6aZnIDEnQPyRJyTpcI/edit#gid=0"", ""СОШ с. Шумейка!B18:O22"")"),"Москвина Инна Денисовна ")</f>
        <v xml:space="preserve">Москвина Инна Денисовна </v>
      </c>
      <c r="C50" s="19"/>
      <c r="D50" s="22" t="str">
        <f ca="1">IFERROR(__xludf.DUMMYFUNCTION("""COMPUTED_VALUE"""),"МОУ ""СОШ с. Шумейка""")</f>
        <v>МОУ "СОШ с. Шумейка"</v>
      </c>
      <c r="E50" s="19">
        <f ca="1">IFERROR(__xludf.DUMMYFUNCTION("""COMPUTED_VALUE"""),7)</f>
        <v>7</v>
      </c>
      <c r="F50" s="22" t="str">
        <f ca="1">IFERROR(__xludf.DUMMYFUNCTION("""COMPUTED_VALUE"""),"Полякова Наталия Викторовна")</f>
        <v>Полякова Наталия Викторовна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23"/>
      <c r="W50" s="20"/>
      <c r="X50" s="20"/>
      <c r="Y50" s="20"/>
    </row>
    <row r="51" spans="1:25" ht="12.75" hidden="1">
      <c r="A51" s="20">
        <v>27</v>
      </c>
      <c r="B51" s="22" t="str">
        <f ca="1">IFERROR(__xludf.DUMMYFUNCTION("""COMPUTED_VALUE"""),"Самойлов Данила Игоревич")</f>
        <v>Самойлов Данила Игоревич</v>
      </c>
      <c r="C51" s="19"/>
      <c r="D51" s="22" t="str">
        <f ca="1">IFERROR(__xludf.DUMMYFUNCTION("""COMPUTED_VALUE"""),"МОУ ""СОШ с. Шумейка""")</f>
        <v>МОУ "СОШ с. Шумейка"</v>
      </c>
      <c r="E51" s="19">
        <f ca="1">IFERROR(__xludf.DUMMYFUNCTION("""COMPUTED_VALUE"""),7)</f>
        <v>7</v>
      </c>
      <c r="F51" s="22" t="str">
        <f ca="1">IFERROR(__xludf.DUMMYFUNCTION("""COMPUTED_VALUE"""),"Полякова Наталия Викторовна")</f>
        <v>Полякова Наталия Викторовна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3"/>
      <c r="W51" s="20"/>
      <c r="X51" s="20"/>
      <c r="Y51" s="20"/>
    </row>
    <row r="52" spans="1:25" ht="12.75" hidden="1">
      <c r="A52" s="20">
        <v>27</v>
      </c>
      <c r="B52" s="25" t="str">
        <f ca="1">IFERROR(__xludf.DUMMYFUNCTION("IMPORTRANGE(""https://docs.google.com/spreadsheets/d/16CWr8ky6L0i1S4UOLMYHizeHS6aZnIDEnQPyRJyTpcI/edit#gid=0"", ""СОШ с. Шумейка!B18:O22"")"),"Москвина Инна Денисовна ")</f>
        <v xml:space="preserve">Москвина Инна Денисовна </v>
      </c>
      <c r="C52" s="19"/>
      <c r="D52" s="22" t="str">
        <f ca="1">IFERROR(__xludf.DUMMYFUNCTION("""COMPUTED_VALUE"""),"МОУ ""СОШ с. Шумейка""")</f>
        <v>МОУ "СОШ с. Шумейка"</v>
      </c>
      <c r="E52" s="19">
        <f ca="1">IFERROR(__xludf.DUMMYFUNCTION("""COMPUTED_VALUE"""),7)</f>
        <v>7</v>
      </c>
      <c r="F52" s="22" t="str">
        <f ca="1">IFERROR(__xludf.DUMMYFUNCTION("""COMPUTED_VALUE"""),"Полякова Наталия Викторовна")</f>
        <v>Полякова Наталия Викторовна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3"/>
      <c r="W52" s="20"/>
      <c r="X52" s="20"/>
      <c r="Y52" s="20"/>
    </row>
    <row r="53" spans="1:25" ht="12.75" hidden="1">
      <c r="A53" s="20">
        <v>27</v>
      </c>
      <c r="B53" s="22" t="str">
        <f ca="1">IFERROR(__xludf.DUMMYFUNCTION("""COMPUTED_VALUE"""),"Самойлов Данила Игоревич")</f>
        <v>Самойлов Данила Игоревич</v>
      </c>
      <c r="C53" s="19"/>
      <c r="D53" s="22" t="str">
        <f ca="1">IFERROR(__xludf.DUMMYFUNCTION("""COMPUTED_VALUE"""),"МОУ ""СОШ с. Шумейка""")</f>
        <v>МОУ "СОШ с. Шумейка"</v>
      </c>
      <c r="E53" s="19">
        <f ca="1">IFERROR(__xludf.DUMMYFUNCTION("""COMPUTED_VALUE"""),7)</f>
        <v>7</v>
      </c>
      <c r="F53" s="22" t="str">
        <f ca="1">IFERROR(__xludf.DUMMYFUNCTION("""COMPUTED_VALUE"""),"Полякова Наталия Викторовна")</f>
        <v>Полякова Наталия Викторовна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3"/>
      <c r="W53" s="20"/>
      <c r="X53" s="20"/>
      <c r="Y53" s="20"/>
    </row>
    <row r="54" spans="1:25" ht="12.75" hidden="1">
      <c r="A54" s="20">
        <v>27</v>
      </c>
      <c r="B54" s="24" t="str">
        <f ca="1">IFERROR(__xludf.DUMMYFUNCTION("""COMPUTED_VALUE"""),"Мишин Александр Вадимович")</f>
        <v>Мишин Александр Вадимович</v>
      </c>
      <c r="C54" s="20"/>
      <c r="D54" s="24" t="str">
        <f ca="1">IFERROR(__xludf.DUMMYFUNCTION("""COMPUTED_VALUE"""),"МОУ ""ООШ№10""")</f>
        <v>МОУ "ООШ№10"</v>
      </c>
      <c r="E54" s="20">
        <f ca="1">IFERROR(__xludf.DUMMYFUNCTION("""COMPUTED_VALUE"""),7)</f>
        <v>7</v>
      </c>
      <c r="F54" s="24" t="str">
        <f ca="1">IFERROR(__xludf.DUMMYFUNCTION("""COMPUTED_VALUE"""),"Бузюрова Оксана Васильевна")</f>
        <v>Бузюрова Оксана Васильевна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3"/>
      <c r="W54" s="20"/>
      <c r="X54" s="20"/>
      <c r="Y54" s="20"/>
    </row>
    <row r="55" spans="1:25" ht="12.75" hidden="1">
      <c r="A55" s="20">
        <v>27</v>
      </c>
      <c r="B55" s="24" t="str">
        <f ca="1">IFERROR(__xludf.DUMMYFUNCTION("""COMPUTED_VALUE"""),"Щипцов Никита Александрович")</f>
        <v>Щипцов Никита Александрович</v>
      </c>
      <c r="C55" s="20"/>
      <c r="D55" s="24" t="str">
        <f ca="1">IFERROR(__xludf.DUMMYFUNCTION("""COMPUTED_VALUE"""),"МОУ ""ООШ№10""")</f>
        <v>МОУ "ООШ№10"</v>
      </c>
      <c r="E55" s="20">
        <f ca="1">IFERROR(__xludf.DUMMYFUNCTION("""COMPUTED_VALUE"""),7)</f>
        <v>7</v>
      </c>
      <c r="F55" s="24" t="str">
        <f ca="1">IFERROR(__xludf.DUMMYFUNCTION("""COMPUTED_VALUE"""),"Бузюрова Оксана Васильевна")</f>
        <v>Бузюрова Оксана Васильевна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3"/>
      <c r="W55" s="20"/>
      <c r="X55" s="20"/>
      <c r="Y55" s="20"/>
    </row>
    <row r="56" spans="1:25" ht="12.75" hidden="1">
      <c r="A56" s="20">
        <v>27</v>
      </c>
      <c r="B56" s="24" t="str">
        <f ca="1">IFERROR(__xludf.DUMMYFUNCTION("""COMPUTED_VALUE"""),"Щелупова ксения Владимировна")</f>
        <v>Щелупова ксения Владимировна</v>
      </c>
      <c r="C56" s="20"/>
      <c r="D56" s="24" t="str">
        <f ca="1">IFERROR(__xludf.DUMMYFUNCTION("""COMPUTED_VALUE"""),"МОУ ""СОШ им. Ю.А. Гагарина """)</f>
        <v>МОУ "СОШ им. Ю.А. Гагарина "</v>
      </c>
      <c r="E56" s="20">
        <f ca="1">IFERROR(__xludf.DUMMYFUNCTION("""COMPUTED_VALUE"""),7)</f>
        <v>7</v>
      </c>
      <c r="F56" s="24" t="str">
        <f ca="1">IFERROR(__xludf.DUMMYFUNCTION("""COMPUTED_VALUE"""),"Мищенко Ирина Николаевна")</f>
        <v>Мищенко Ирина Николаевна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3"/>
      <c r="W56" s="20"/>
      <c r="X56" s="20"/>
      <c r="Y56" s="20"/>
    </row>
    <row r="57" spans="1:25" ht="12.75" hidden="1">
      <c r="A57" s="20">
        <v>27</v>
      </c>
      <c r="B57" s="24" t="str">
        <f ca="1">IFERROR(__xludf.DUMMYFUNCTION("IMPORTRANGE(""https://docs.google.com/spreadsheets/d/16CWr8ky6L0i1S4UOLMYHizeHS6aZnIDEnQPyRJyTpcI/edit#gid=0"", ""СОШ №33!B13:O17"")"),"Страхова Ксения Александровна")</f>
        <v>Страхова Ксения Александровна</v>
      </c>
      <c r="C57" s="20"/>
      <c r="D57" s="24" t="str">
        <f ca="1">IFERROR(__xludf.DUMMYFUNCTION("""COMPUTED_VALUE"""),"МОУ ""СОШ №33""")</f>
        <v>МОУ "СОШ №33"</v>
      </c>
      <c r="E57" s="20">
        <f ca="1">IFERROR(__xludf.DUMMYFUNCTION("""COMPUTED_VALUE"""),7)</f>
        <v>7</v>
      </c>
      <c r="F57" s="24" t="str">
        <f ca="1">IFERROR(__xludf.DUMMYFUNCTION("""COMPUTED_VALUE"""),"Власова Татьяна Станиславовна")</f>
        <v>Власова Татьяна Станиславовна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3"/>
      <c r="W57" s="20"/>
      <c r="X57" s="20"/>
      <c r="Y57" s="20"/>
    </row>
    <row r="58" spans="1:25" ht="12.75" hidden="1">
      <c r="A58" s="20">
        <v>27</v>
      </c>
      <c r="B58" s="25" t="str">
        <f ca="1">IFERROR(__xludf.DUMMYFUNCTION("IMPORTRANGE(""https://docs.google.com/spreadsheets/d/16CWr8ky6L0i1S4UOLMYHizeHS6aZnIDEnQPyRJyTpcI/edit#gid=0"", ""Патриот!B13:O17"")"),"Кузнецов Павел Сергеевич")</f>
        <v>Кузнецов Павел Сергеевич</v>
      </c>
      <c r="C58" s="20"/>
      <c r="D58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58" s="20">
        <f ca="1">IFERROR(__xludf.DUMMYFUNCTION("""COMPUTED_VALUE"""),7)</f>
        <v>7</v>
      </c>
      <c r="F58" s="24" t="str">
        <f ca="1">IFERROR(__xludf.DUMMYFUNCTION("""COMPUTED_VALUE"""),"Языкова Светлана Александровна")</f>
        <v>Языкова Светлана Александровна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3"/>
      <c r="W58" s="20"/>
      <c r="X58" s="20"/>
      <c r="Y58" s="20"/>
    </row>
    <row r="59" spans="1:25" ht="12.75" hidden="1">
      <c r="A59" s="20">
        <v>27</v>
      </c>
      <c r="B59" s="24" t="str">
        <f ca="1">IFERROR(__xludf.DUMMYFUNCTION("""COMPUTED_VALUE"""),"Прокушкина Валерия Алексеевна")</f>
        <v>Прокушкина Валерия Алексеевна</v>
      </c>
      <c r="C59" s="20"/>
      <c r="D59" s="24" t="str">
        <f ca="1">IFERROR(__xludf.DUMMYFUNCTION("""COMPUTED_VALUE"""),"МОУ ""СОШ ""Патриот"" с кадетскими классами""")</f>
        <v>МОУ "СОШ "Патриот" с кадетскими классами"</v>
      </c>
      <c r="E59" s="20">
        <f ca="1">IFERROR(__xludf.DUMMYFUNCTION("""COMPUTED_VALUE"""),7)</f>
        <v>7</v>
      </c>
      <c r="F59" s="24" t="str">
        <f ca="1">IFERROR(__xludf.DUMMYFUNCTION("""COMPUTED_VALUE"""),"Языкова Светлана Александровна")</f>
        <v>Языкова Светлана Александровна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3"/>
      <c r="W59" s="20"/>
      <c r="X59" s="20"/>
      <c r="Y59" s="20"/>
    </row>
    <row r="60" spans="1:25" ht="12.75" hidden="1">
      <c r="A60" s="20">
        <v>27</v>
      </c>
      <c r="B60" s="22" t="str">
        <f ca="1">IFERROR(__xludf.DUMMYFUNCTION("""COMPUTED_VALUE"""),"Ковалева Валерия Николаевна")</f>
        <v>Ковалева Валерия Николаевна</v>
      </c>
      <c r="C60" s="19"/>
      <c r="D60" s="22" t="str">
        <f ca="1">IFERROR(__xludf.DUMMYFUNCTION("""COMPUTED_VALUE"""),"МОУ ""СОШ с. Березовка""")</f>
        <v>МОУ "СОШ с. Березовка"</v>
      </c>
      <c r="E60" s="19">
        <f ca="1">IFERROR(__xludf.DUMMYFUNCTION("""COMPUTED_VALUE"""),7)</f>
        <v>7</v>
      </c>
      <c r="F60" s="22" t="str">
        <f ca="1">IFERROR(__xludf.DUMMYFUNCTION("""COMPUTED_VALUE"""),"Турсумбек Нагима Айгалиевна ")</f>
        <v xml:space="preserve">Турсумбек Нагима Айгалиевна 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3"/>
      <c r="W60" s="20"/>
      <c r="X60" s="20"/>
      <c r="Y60" s="20"/>
    </row>
    <row r="61" spans="1:25" ht="12.75" hidden="1">
      <c r="A61" s="20">
        <v>27</v>
      </c>
      <c r="B61" s="22" t="str">
        <f ca="1">IFERROR(__xludf.DUMMYFUNCTION("""COMPUTED_VALUE"""),"Пяк Анастасия Андреевна")</f>
        <v>Пяк Анастасия Андреевна</v>
      </c>
      <c r="C61" s="19"/>
      <c r="D61" s="22" t="str">
        <f ca="1">IFERROR(__xludf.DUMMYFUNCTION("""COMPUTED_VALUE"""),"МОУ ""СОШ с. Березовка""")</f>
        <v>МОУ "СОШ с. Березовка"</v>
      </c>
      <c r="E61" s="19">
        <f ca="1">IFERROR(__xludf.DUMMYFUNCTION("""COMPUTED_VALUE"""),7)</f>
        <v>7</v>
      </c>
      <c r="F61" s="22" t="str">
        <f ca="1">IFERROR(__xludf.DUMMYFUNCTION("""COMPUTED_VALUE"""),"Турсумбек Нагима Айгалиевна ")</f>
        <v xml:space="preserve">Турсумбек Нагима Айгалиевна 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3"/>
      <c r="W61" s="20"/>
      <c r="X61" s="20"/>
      <c r="Y61" s="20"/>
    </row>
    <row r="62" spans="1:25" ht="12.75" hidden="1">
      <c r="A62" s="20">
        <v>27</v>
      </c>
      <c r="B62" s="22" t="str">
        <f ca="1">IFERROR(__xludf.DUMMYFUNCTION("""COMPUTED_VALUE"""),"Краснова Полина Михайловна")</f>
        <v>Краснова Полина Михайловна</v>
      </c>
      <c r="C62" s="19"/>
      <c r="D62" s="22" t="str">
        <f ca="1">IFERROR(__xludf.DUMMYFUNCTION("""COMPUTED_VALUE"""),"МОУ ""СОШ с. Шумейка""")</f>
        <v>МОУ "СОШ с. Шумейка"</v>
      </c>
      <c r="E62" s="19">
        <f ca="1">IFERROR(__xludf.DUMMYFUNCTION("""COMPUTED_VALUE"""),7)</f>
        <v>7</v>
      </c>
      <c r="F62" s="22" t="str">
        <f ca="1">IFERROR(__xludf.DUMMYFUNCTION("""COMPUTED_VALUE"""),"Полякова Наталия Викторовна")</f>
        <v>Полякова Наталия Викторовна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3"/>
      <c r="W62" s="20"/>
      <c r="X62" s="20"/>
      <c r="Y62" s="20"/>
    </row>
    <row r="63" spans="1:25" ht="12.75" hidden="1">
      <c r="A63" s="20">
        <v>27</v>
      </c>
      <c r="B63" s="25" t="str">
        <f ca="1">IFERROR(__xludf.DUMMYFUNCTION("IMPORTRANGE(""https://docs.google.com/spreadsheets/d/16CWr8ky6L0i1S4UOLMYHizeHS6aZnIDEnQPyRJyTpcI/edit#gid=0"", ""СОШ №31!B43:O47"")"),"Такшаитова Дарина Дамировна")</f>
        <v>Такшаитова Дарина Дамировна</v>
      </c>
      <c r="C63" s="19"/>
      <c r="D63" s="22" t="str">
        <f ca="1">IFERROR(__xludf.DUMMYFUNCTION("""COMPUTED_VALUE"""),"МОУ ""СОШ №31""")</f>
        <v>МОУ "СОШ №31"</v>
      </c>
      <c r="E63" s="19">
        <f ca="1">IFERROR(__xludf.DUMMYFUNCTION("""COMPUTED_VALUE"""),7)</f>
        <v>7</v>
      </c>
      <c r="F63" s="22" t="str">
        <f ca="1">IFERROR(__xludf.DUMMYFUNCTION("""COMPUTED_VALUE"""),"Котлярова Евгения Владимировна")</f>
        <v>Котлярова Евгения Владимировна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3"/>
      <c r="W63" s="20"/>
      <c r="X63" s="20"/>
      <c r="Y63" s="20"/>
    </row>
    <row r="64" spans="1:25" ht="12.75" hidden="1">
      <c r="A64" s="20">
        <v>27</v>
      </c>
      <c r="B64" s="22" t="str">
        <f ca="1">IFERROR(__xludf.DUMMYFUNCTION("""COMPUTED_VALUE"""),"Джиганшин Мансур")</f>
        <v>Джиганшин Мансур</v>
      </c>
      <c r="C64" s="19"/>
      <c r="D64" s="22" t="str">
        <f ca="1">IFERROR(__xludf.DUMMYFUNCTION("""COMPUTED_VALUE"""),"МОУ ""СОШ №31""")</f>
        <v>МОУ "СОШ №31"</v>
      </c>
      <c r="E64" s="19">
        <f ca="1">IFERROR(__xludf.DUMMYFUNCTION("""COMPUTED_VALUE"""),7)</f>
        <v>7</v>
      </c>
      <c r="F64" s="22" t="str">
        <f ca="1">IFERROR(__xludf.DUMMYFUNCTION("""COMPUTED_VALUE"""),"Котлярова Евгения Владимировна")</f>
        <v>Котлярова Евгения Владимировна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3"/>
      <c r="W64" s="20"/>
      <c r="X64" s="20"/>
      <c r="Y64" s="20"/>
    </row>
    <row r="65" spans="1:25" ht="12.75" hidden="1">
      <c r="A65" s="20">
        <v>27</v>
      </c>
      <c r="B65" s="22" t="str">
        <f ca="1">IFERROR(__xludf.DUMMYFUNCTION("""COMPUTED_VALUE"""),"Семёнова Анастасия")</f>
        <v>Семёнова Анастасия</v>
      </c>
      <c r="C65" s="19"/>
      <c r="D65" s="22" t="str">
        <f ca="1">IFERROR(__xludf.DUMMYFUNCTION("""COMPUTED_VALUE"""),"МОУ ""СОШ №31""")</f>
        <v>МОУ "СОШ №31"</v>
      </c>
      <c r="E65" s="19">
        <f ca="1">IFERROR(__xludf.DUMMYFUNCTION("""COMPUTED_VALUE"""),7)</f>
        <v>7</v>
      </c>
      <c r="F65" s="22" t="str">
        <f ca="1">IFERROR(__xludf.DUMMYFUNCTION("""COMPUTED_VALUE"""),"Котлярова Евгения Владимировна")</f>
        <v>Котлярова Евгения Владимировна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3"/>
      <c r="W65" s="20"/>
      <c r="X65" s="20"/>
      <c r="Y65" s="20"/>
    </row>
    <row r="66" spans="1:25" ht="12.75" hidden="1">
      <c r="A66" s="20">
        <v>27</v>
      </c>
      <c r="B66" s="25" t="str">
        <f ca="1">IFERROR(__xludf.DUMMYFUNCTION("IMPORTRANGE(""https://docs.google.com/spreadsheets/d/16CWr8ky6L0i1S4UOLMYHizeHS6aZnIDEnQPyRJyTpcI/edit#gid=0"", ""СОШ №33!B43:O46"")"),"Лещенко Василий Павлович")</f>
        <v>Лещенко Василий Павлович</v>
      </c>
      <c r="C66" s="19"/>
      <c r="D66" s="22" t="str">
        <f ca="1">IFERROR(__xludf.DUMMYFUNCTION("""COMPUTED_VALUE"""),"МОУ ""СОШ №33""")</f>
        <v>МОУ "СОШ №33"</v>
      </c>
      <c r="E66" s="19">
        <f ca="1">IFERROR(__xludf.DUMMYFUNCTION("""COMPUTED_VALUE"""),7)</f>
        <v>7</v>
      </c>
      <c r="F66" s="22" t="str">
        <f ca="1">IFERROR(__xludf.DUMMYFUNCTION("""COMPUTED_VALUE"""),"Власова Татьяна Станиславовна")</f>
        <v>Власова Татьяна Станиславовна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3"/>
      <c r="W66" s="20"/>
      <c r="X66" s="20"/>
      <c r="Y66" s="20"/>
    </row>
    <row r="67" spans="1:25" ht="12.75" hidden="1">
      <c r="A67" s="20">
        <v>27</v>
      </c>
      <c r="B67" s="22" t="str">
        <f ca="1">IFERROR(__xludf.DUMMYFUNCTION("""COMPUTED_VALUE"""),"Полетаев Матвей Александрович")</f>
        <v>Полетаев Матвей Александрович</v>
      </c>
      <c r="C67" s="19"/>
      <c r="D67" s="22" t="str">
        <f ca="1">IFERROR(__xludf.DUMMYFUNCTION("""COMPUTED_VALUE"""),"МОУ ""СОШ №33""")</f>
        <v>МОУ "СОШ №33"</v>
      </c>
      <c r="E67" s="19">
        <f ca="1">IFERROR(__xludf.DUMMYFUNCTION("""COMPUTED_VALUE"""),7)</f>
        <v>7</v>
      </c>
      <c r="F67" s="22" t="str">
        <f ca="1">IFERROR(__xludf.DUMMYFUNCTION("""COMPUTED_VALUE"""),"Сибряева Надежда Васильевна")</f>
        <v>Сибряева Надежда Васильевна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3"/>
      <c r="W67" s="20"/>
      <c r="X67" s="20"/>
      <c r="Y67" s="20"/>
    </row>
    <row r="68" spans="1:25" ht="12.75" hidden="1">
      <c r="A68" s="20">
        <v>27</v>
      </c>
      <c r="B68" s="25" t="str">
        <f ca="1">IFERROR(__xludf.DUMMYFUNCTION("IMPORTRANGE(""https://docs.google.com/spreadsheets/d/16CWr8ky6L0i1S4UOLMYHizeHS6aZnIDEnQPyRJyTpcI/edit#gid=0"", ""СОШ №9!B13:O17"")"),"Лукин Данила Евгеньевич")</f>
        <v>Лукин Данила Евгеньевич</v>
      </c>
      <c r="C68" s="20"/>
      <c r="D68" s="24" t="str">
        <f ca="1">IFERROR(__xludf.DUMMYFUNCTION("""COMPUTED_VALUE"""),"МОУ ""СОШ №9""")</f>
        <v>МОУ "СОШ №9"</v>
      </c>
      <c r="E68" s="20">
        <f ca="1">IFERROR(__xludf.DUMMYFUNCTION("""COMPUTED_VALUE"""),7)</f>
        <v>7</v>
      </c>
      <c r="F68" s="24" t="str">
        <f ca="1">IFERROR(__xludf.DUMMYFUNCTION("""COMPUTED_VALUE"""),"Литовченко Любовь Викторовна")</f>
        <v>Литовченко Любовь Викторовна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23"/>
      <c r="W68" s="20"/>
      <c r="X68" s="20"/>
      <c r="Y68" s="20"/>
    </row>
    <row r="69" spans="1:25" ht="12.75" hidden="1">
      <c r="A69" s="20">
        <v>27</v>
      </c>
      <c r="B69" s="24" t="str">
        <f ca="1">IFERROR(__xludf.DUMMYFUNCTION("""COMPUTED_VALUE"""),"Алиева Марьям Айдыновна")</f>
        <v>Алиева Марьям Айдыновна</v>
      </c>
      <c r="C69" s="20"/>
      <c r="D69" s="24" t="str">
        <f ca="1">IFERROR(__xludf.DUMMYFUNCTION("""COMPUTED_VALUE"""),"МОУ ""ООШ№10""")</f>
        <v>МОУ "ООШ№10"</v>
      </c>
      <c r="E69" s="20">
        <f ca="1">IFERROR(__xludf.DUMMYFUNCTION("""COMPUTED_VALUE"""),7)</f>
        <v>7</v>
      </c>
      <c r="F69" s="24" t="str">
        <f ca="1">IFERROR(__xludf.DUMMYFUNCTION("""COMPUTED_VALUE"""),"Бузюрова Оксана Васильевна")</f>
        <v>Бузюрова Оксана Васильевна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3"/>
      <c r="W69" s="20"/>
      <c r="X69" s="20"/>
      <c r="Y69" s="20"/>
    </row>
    <row r="70" spans="1:25" ht="12.75" hidden="1">
      <c r="A70" s="20">
        <v>27</v>
      </c>
      <c r="B70" s="25" t="str">
        <f ca="1">IFERROR(__xludf.DUMMYFUNCTION("IMPORTRANGE(""https://docs.google.com/spreadsheets/d/16CWr8ky6L0i1S4UOLMYHizeHS6aZnIDEnQPyRJyTpcI/edit#gid=0"", ""Нов. век!B13:O17"")"),"Пилягин Даниил Александрович")</f>
        <v>Пилягин Даниил Александрович</v>
      </c>
      <c r="C70" s="20"/>
      <c r="D70" s="24" t="str">
        <f ca="1">IFERROR(__xludf.DUMMYFUNCTION("""COMPUTED_VALUE"""),"МОУ ""СОШ им. Ю.А. Гагарина """)</f>
        <v>МОУ "СОШ им. Ю.А. Гагарина "</v>
      </c>
      <c r="E70" s="20">
        <f ca="1">IFERROR(__xludf.DUMMYFUNCTION("""COMPUTED_VALUE"""),7)</f>
        <v>7</v>
      </c>
      <c r="F70" s="24" t="str">
        <f ca="1">IFERROR(__xludf.DUMMYFUNCTION("""COMPUTED_VALUE"""),"Мищенко Ирина Николаевна")</f>
        <v>Мищенко Ирина Николаевна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3"/>
      <c r="W70" s="20"/>
      <c r="X70" s="20"/>
      <c r="Y70" s="20"/>
    </row>
    <row r="71" spans="1:25" ht="12.75" hidden="1">
      <c r="A71" s="20">
        <v>27</v>
      </c>
      <c r="B71" s="24" t="str">
        <f ca="1">IFERROR(__xludf.DUMMYFUNCTION("""COMPUTED_VALUE"""),"Смирнов Илья Евгеньевич")</f>
        <v>Смирнов Илья Евгеньевич</v>
      </c>
      <c r="C71" s="20"/>
      <c r="D71" s="24" t="str">
        <f ca="1">IFERROR(__xludf.DUMMYFUNCTION("""COMPUTED_VALUE"""),"МОУ ""СОШ им. Ю.А. Гагарина """)</f>
        <v>МОУ "СОШ им. Ю.А. Гагарина "</v>
      </c>
      <c r="E71" s="20">
        <f ca="1">IFERROR(__xludf.DUMMYFUNCTION("""COMPUTED_VALUE"""),7)</f>
        <v>7</v>
      </c>
      <c r="F71" s="24" t="str">
        <f ca="1">IFERROR(__xludf.DUMMYFUNCTION("""COMPUTED_VALUE"""),"Мищенко Ирина Николаевна")</f>
        <v>Мищенко Ирина Николаевна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3"/>
      <c r="W71" s="20"/>
      <c r="X71" s="20"/>
      <c r="Y71" s="20"/>
    </row>
    <row r="72" spans="1:25" ht="12.75" hidden="1">
      <c r="A72" s="20">
        <v>27</v>
      </c>
      <c r="B72" s="24" t="str">
        <f ca="1">IFERROR(__xludf.DUMMYFUNCTION("""COMPUTED_VALUE"""),"Коротков Илья Алексеевич")</f>
        <v>Коротков Илья Алексеевич</v>
      </c>
      <c r="C72" s="20"/>
      <c r="D72" s="24" t="str">
        <f ca="1">IFERROR(__xludf.DUMMYFUNCTION("""COMPUTED_VALUE"""),"МОУ ""МЭЛ им. Шнитке А.Г.""")</f>
        <v>МОУ "МЭЛ им. Шнитке А.Г."</v>
      </c>
      <c r="E72" s="20">
        <f ca="1">IFERROR(__xludf.DUMMYFUNCTION("""COMPUTED_VALUE"""),7)</f>
        <v>7</v>
      </c>
      <c r="F72" s="24" t="str">
        <f ca="1">IFERROR(__xludf.DUMMYFUNCTION("""COMPUTED_VALUE"""),"Мотавкина Светлана Сергеевна")</f>
        <v>Мотавкина Светлана Сергеевна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3"/>
      <c r="W72" s="20"/>
      <c r="X72" s="20"/>
      <c r="Y72" s="20"/>
    </row>
    <row r="73" spans="1:25" ht="12.75" hidden="1">
      <c r="A73" s="20">
        <v>27</v>
      </c>
      <c r="B73" s="22" t="str">
        <f ca="1">IFERROR(__xludf.DUMMYFUNCTION("""COMPUTED_VALUE"""),"Кокорина Марья Дмитриевна")</f>
        <v>Кокорина Марья Дмитриевна</v>
      </c>
      <c r="C73" s="19"/>
      <c r="D73" s="22" t="str">
        <f ca="1">IFERROR(__xludf.DUMMYFUNCTION("""COMPUTED_VALUE"""),"МОУ ""СОШ с. Березовка""")</f>
        <v>МОУ "СОШ с. Березовка"</v>
      </c>
      <c r="E73" s="19">
        <f ca="1">IFERROR(__xludf.DUMMYFUNCTION("""COMPUTED_VALUE"""),7)</f>
        <v>7</v>
      </c>
      <c r="F73" s="22" t="str">
        <f ca="1">IFERROR(__xludf.DUMMYFUNCTION("""COMPUTED_VALUE"""),"Турсумбек Нагима Айгалиевна ")</f>
        <v xml:space="preserve">Турсумбек Нагима Айгалиевна 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3"/>
      <c r="W73" s="20"/>
      <c r="X73" s="20"/>
      <c r="Y73" s="20"/>
    </row>
    <row r="74" spans="1:25" ht="12.75" hidden="1">
      <c r="A74" s="20">
        <v>27</v>
      </c>
      <c r="B74" s="22" t="str">
        <f ca="1">IFERROR(__xludf.DUMMYFUNCTION("""COMPUTED_VALUE"""),"Утешев Эльдар Русланович")</f>
        <v>Утешев Эльдар Русланович</v>
      </c>
      <c r="C74" s="19"/>
      <c r="D74" s="22" t="str">
        <f ca="1">IFERROR(__xludf.DUMMYFUNCTION("""COMPUTED_VALUE"""),"МОУ ""СОШ п. Придорожный""")</f>
        <v>МОУ "СОШ п. Придорожный"</v>
      </c>
      <c r="E74" s="19">
        <f ca="1">IFERROR(__xludf.DUMMYFUNCTION("""COMPUTED_VALUE"""),7)</f>
        <v>7</v>
      </c>
      <c r="F74" s="22" t="str">
        <f ca="1">IFERROR(__xludf.DUMMYFUNCTION("""COMPUTED_VALUE"""),"Демешко Екатерина Валерьевна")</f>
        <v>Демешко Екатерина Валерьевна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23"/>
      <c r="W74" s="20"/>
      <c r="X74" s="20"/>
      <c r="Y74" s="20"/>
    </row>
    <row r="75" spans="1:25" ht="12.75" hidden="1">
      <c r="A75" s="20">
        <v>27</v>
      </c>
      <c r="B75" s="25" t="str">
        <f ca="1">IFERROR(__xludf.DUMMYFUNCTION("IMPORTRANGE(""https://docs.google.com/spreadsheets/d/16CWr8ky6L0i1S4UOLMYHizeHS6aZnIDEnQPyRJyTpcI/edit#gid=0"", ""СОШ п. им. К.Маркса!B34:O36"")"),"Бычков Тимур Рамильевич")</f>
        <v>Бычков Тимур Рамильевич</v>
      </c>
      <c r="C75" s="19"/>
      <c r="D75" s="22" t="str">
        <f ca="1">IFERROR(__xludf.DUMMYFUNCTION("""COMPUTED_VALUE"""),"МОУ ""СОШ п. им. К. Маркса""")</f>
        <v>МОУ "СОШ п. им. К. Маркса"</v>
      </c>
      <c r="E75" s="19">
        <f ca="1">IFERROR(__xludf.DUMMYFUNCTION("""COMPUTED_VALUE"""),7)</f>
        <v>7</v>
      </c>
      <c r="F75" s="22" t="str">
        <f ca="1">IFERROR(__xludf.DUMMYFUNCTION("""COMPUTED_VALUE"""),"Постнова Ольга Вениаминовна")</f>
        <v>Постнова Ольга Вениаминовна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3"/>
      <c r="W75" s="20"/>
      <c r="X75" s="20"/>
      <c r="Y75" s="20"/>
    </row>
    <row r="76" spans="1:25" ht="12.75" hidden="1">
      <c r="A76" s="20">
        <v>27</v>
      </c>
      <c r="B76" s="22" t="str">
        <f ca="1">IFERROR(__xludf.DUMMYFUNCTION("""COMPUTED_VALUE"""),"Куликова Анастасия Витальевна")</f>
        <v>Куликова Анастасия Витальевна</v>
      </c>
      <c r="C76" s="19"/>
      <c r="D76" s="22" t="str">
        <f ca="1">IFERROR(__xludf.DUMMYFUNCTION("""COMPUTED_VALUE"""),"МОУ ""СОШ п. им. К. Маркса""")</f>
        <v>МОУ "СОШ п. им. К. Маркса"</v>
      </c>
      <c r="E76" s="19">
        <f ca="1">IFERROR(__xludf.DUMMYFUNCTION("""COMPUTED_VALUE"""),7)</f>
        <v>7</v>
      </c>
      <c r="F76" s="22" t="str">
        <f ca="1">IFERROR(__xludf.DUMMYFUNCTION("""COMPUTED_VALUE"""),"Постнова Ольга Вениаминовна")</f>
        <v>Постнова Ольга Вениаминовна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23"/>
      <c r="W76" s="20"/>
      <c r="X76" s="20"/>
      <c r="Y76" s="20"/>
    </row>
    <row r="77" spans="1:25" ht="12.75" hidden="1">
      <c r="A77" s="20">
        <v>27</v>
      </c>
      <c r="B77" s="22" t="str">
        <f ca="1">IFERROR(__xludf.DUMMYFUNCTION("""COMPUTED_VALUE"""),"Харитонова Ангелина Алексеевна")</f>
        <v>Харитонова Ангелина Алексеевна</v>
      </c>
      <c r="C77" s="19"/>
      <c r="D77" s="2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77" s="19">
        <f ca="1">IFERROR(__xludf.DUMMYFUNCTION("""COMPUTED_VALUE"""),7)</f>
        <v>7</v>
      </c>
      <c r="F77" s="22" t="str">
        <f ca="1">IFERROR(__xludf.DUMMYFUNCTION("""COMPUTED_VALUE"""),"Языкова Светлана Александровна")</f>
        <v>Языкова Светлана Александровна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23"/>
      <c r="W77" s="20"/>
      <c r="X77" s="20"/>
      <c r="Y77" s="20"/>
    </row>
    <row r="78" spans="1:25" ht="12.75" hidden="1">
      <c r="A78" s="20">
        <v>27</v>
      </c>
      <c r="B78" s="25" t="str">
        <f ca="1">IFERROR(__xludf.DUMMYFUNCTION("IMPORTRANGE(""https://docs.google.com/spreadsheets/d/16CWr8ky6L0i1S4UOLMYHizeHS6aZnIDEnQPyRJyTpcI/edit#gid=0"", ""ООШ №10!B13:O17"")"),"Хрусталева Дарья Владимировна")</f>
        <v>Хрусталева Дарья Владимировна</v>
      </c>
      <c r="C78" s="20"/>
      <c r="D78" s="24" t="str">
        <f ca="1">IFERROR(__xludf.DUMMYFUNCTION("""COMPUTED_VALUE"""),"МОУ ""ООШ№10""")</f>
        <v>МОУ "ООШ№10"</v>
      </c>
      <c r="E78" s="20">
        <f ca="1">IFERROR(__xludf.DUMMYFUNCTION("""COMPUTED_VALUE"""),7)</f>
        <v>7</v>
      </c>
      <c r="F78" s="24" t="str">
        <f ca="1">IFERROR(__xludf.DUMMYFUNCTION("""COMPUTED_VALUE"""),"Бузюрова Оксана Васильевна")</f>
        <v>Бузюрова Оксана Васильевна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3"/>
      <c r="W78" s="20"/>
      <c r="X78" s="20"/>
      <c r="Y78" s="20"/>
    </row>
    <row r="79" spans="1:25" ht="12.75" hidden="1">
      <c r="A79" s="20">
        <v>27</v>
      </c>
      <c r="B79" s="24" t="str">
        <f ca="1">IFERROR(__xludf.DUMMYFUNCTION("""COMPUTED_VALUE"""),"Дугин Руслан Артемович")</f>
        <v>Дугин Руслан Артемович</v>
      </c>
      <c r="C79" s="20"/>
      <c r="D79" s="24" t="str">
        <f ca="1">IFERROR(__xludf.DUMMYFUNCTION("""COMPUTED_VALUE"""),"МОУ ""СОШ №24""")</f>
        <v>МОУ "СОШ №24"</v>
      </c>
      <c r="E79" s="20">
        <f ca="1">IFERROR(__xludf.DUMMYFUNCTION("""COMPUTED_VALUE"""),7)</f>
        <v>7</v>
      </c>
      <c r="F79" s="24" t="str">
        <f ca="1">IFERROR(__xludf.DUMMYFUNCTION("""COMPUTED_VALUE"""),"Моисеева Татьяна Владимировна")</f>
        <v>Моисеева Татьяна Владимировна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23"/>
      <c r="W79" s="20"/>
      <c r="X79" s="20"/>
      <c r="Y79" s="20"/>
    </row>
    <row r="80" spans="1:25" ht="12.75" hidden="1">
      <c r="A80" s="20">
        <v>27</v>
      </c>
      <c r="B80" s="22" t="str">
        <f ca="1">IFERROR(__xludf.DUMMYFUNCTION("""COMPUTED_VALUE"""),"Поперечнюк Анастасия Николаевна")</f>
        <v>Поперечнюк Анастасия Николаевна</v>
      </c>
      <c r="C80" s="19"/>
      <c r="D80" s="22" t="str">
        <f ca="1">IFERROR(__xludf.DUMMYFUNCTION("""COMPUTED_VALUE"""),"МОУ ""СОШ п. Придорожный""")</f>
        <v>МОУ "СОШ п. Придорожный"</v>
      </c>
      <c r="E80" s="19">
        <f ca="1">IFERROR(__xludf.DUMMYFUNCTION("""COMPUTED_VALUE"""),7)</f>
        <v>7</v>
      </c>
      <c r="F80" s="22" t="str">
        <f ca="1">IFERROR(__xludf.DUMMYFUNCTION("""COMPUTED_VALUE"""),"Демешко Екатерина Валерьевна")</f>
        <v>Демешко Екатерина Валерьевна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23"/>
      <c r="W80" s="20"/>
      <c r="X80" s="20"/>
      <c r="Y80" s="20"/>
    </row>
    <row r="81" spans="1:25" ht="12.75" hidden="1">
      <c r="A81" s="20">
        <v>27</v>
      </c>
      <c r="B81" s="22" t="str">
        <f ca="1">IFERROR(__xludf.DUMMYFUNCTION("""COMPUTED_VALUE"""),"Кравцов Глеб Олегович")</f>
        <v>Кравцов Глеб Олегович</v>
      </c>
      <c r="C81" s="19"/>
      <c r="D81" s="22" t="str">
        <f ca="1">IFERROR(__xludf.DUMMYFUNCTION("""COMPUTED_VALUE"""),"МОУ ""СОШ п. Придорожный""")</f>
        <v>МОУ "СОШ п. Придорожный"</v>
      </c>
      <c r="E81" s="19">
        <f ca="1">IFERROR(__xludf.DUMMYFUNCTION("""COMPUTED_VALUE"""),7)</f>
        <v>7</v>
      </c>
      <c r="F81" s="22" t="str">
        <f ca="1">IFERROR(__xludf.DUMMYFUNCTION("""COMPUTED_VALUE"""),"Демешко Екатерина Валерьевна")</f>
        <v>Демешко Екатерина Валерьевна</v>
      </c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23"/>
      <c r="W81" s="20"/>
      <c r="X81" s="20"/>
      <c r="Y81" s="20"/>
    </row>
    <row r="82" spans="1:25" ht="12.75" hidden="1">
      <c r="A82" s="20">
        <v>27</v>
      </c>
      <c r="B82" s="22" t="str">
        <f ca="1">IFERROR(__xludf.DUMMYFUNCTION("""COMPUTED_VALUE"""),"Мирошин Артур Николаевич")</f>
        <v>Мирошин Артур Николаевич</v>
      </c>
      <c r="C82" s="19"/>
      <c r="D82" s="22" t="str">
        <f ca="1">IFERROR(__xludf.DUMMYFUNCTION("""COMPUTED_VALUE"""),"МОУ ""ООШ с. Ленинское""")</f>
        <v>МОУ "ООШ с. Ленинское"</v>
      </c>
      <c r="E82" s="19">
        <f ca="1">IFERROR(__xludf.DUMMYFUNCTION("""COMPUTED_VALUE"""),7)</f>
        <v>7</v>
      </c>
      <c r="F82" s="22" t="str">
        <f ca="1">IFERROR(__xludf.DUMMYFUNCTION("""COMPUTED_VALUE"""),"Савиных Людмила Васильевна")</f>
        <v>Савиных Людмила Васильевна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23"/>
      <c r="W82" s="20"/>
      <c r="X82" s="20"/>
      <c r="Y82" s="20"/>
    </row>
    <row r="83" spans="1:25" ht="12.75" hidden="1">
      <c r="A83" s="20">
        <v>27</v>
      </c>
      <c r="B83" s="22" t="str">
        <f ca="1">IFERROR(__xludf.DUMMYFUNCTION("""COMPUTED_VALUE"""),"Долженко Екатерина Сергеевна")</f>
        <v>Долженко Екатерина Сергеевна</v>
      </c>
      <c r="C83" s="19"/>
      <c r="D83" s="22" t="str">
        <f ca="1">IFERROR(__xludf.DUMMYFUNCTION("""COMPUTED_VALUE"""),"МОУ ""СОШ с. Шумейка""")</f>
        <v>МОУ "СОШ с. Шумейка"</v>
      </c>
      <c r="E83" s="19">
        <f ca="1">IFERROR(__xludf.DUMMYFUNCTION("""COMPUTED_VALUE"""),7)</f>
        <v>7</v>
      </c>
      <c r="F83" s="22" t="str">
        <f ca="1">IFERROR(__xludf.DUMMYFUNCTION("""COMPUTED_VALUE"""),"Полякова Наталия Викторовна")</f>
        <v>Полякова Наталия Викторовна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23"/>
      <c r="W83" s="20"/>
      <c r="X83" s="20"/>
      <c r="Y83" s="20"/>
    </row>
    <row r="84" spans="1:25" ht="12.75" hidden="1">
      <c r="A84" s="20">
        <v>27</v>
      </c>
      <c r="B84" s="22" t="str">
        <f ca="1">IFERROR(__xludf.DUMMYFUNCTION("""COMPUTED_VALUE"""),"Павлова Елизавета Алексеевна")</f>
        <v>Павлова Елизавета Алексеевна</v>
      </c>
      <c r="C84" s="19"/>
      <c r="D84" s="2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4" s="19">
        <f ca="1">IFERROR(__xludf.DUMMYFUNCTION("""COMPUTED_VALUE"""),7)</f>
        <v>7</v>
      </c>
      <c r="F84" s="22" t="str">
        <f ca="1">IFERROR(__xludf.DUMMYFUNCTION("""COMPUTED_VALUE"""),"Языкова Светлана Александровна")</f>
        <v>Языкова Светлана Александровна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23"/>
      <c r="W84" s="20"/>
      <c r="X84" s="20"/>
      <c r="Y84" s="20"/>
    </row>
    <row r="85" spans="1:25" ht="12.75" hidden="1">
      <c r="A85" s="20">
        <v>27</v>
      </c>
      <c r="B85" s="22" t="str">
        <f ca="1">IFERROR(__xludf.DUMMYFUNCTION("""COMPUTED_VALUE"""),"Степанов Егор Александрович")</f>
        <v>Степанов Егор Александрович</v>
      </c>
      <c r="C85" s="19"/>
      <c r="D85" s="2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5" s="19">
        <f ca="1">IFERROR(__xludf.DUMMYFUNCTION("""COMPUTED_VALUE"""),7)</f>
        <v>7</v>
      </c>
      <c r="F85" s="22" t="str">
        <f ca="1">IFERROR(__xludf.DUMMYFUNCTION("""COMPUTED_VALUE"""),"Языкова Светлана Александровна")</f>
        <v>Языкова Светлана Александровна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23"/>
      <c r="W85" s="20"/>
      <c r="X85" s="20"/>
      <c r="Y85" s="20"/>
    </row>
    <row r="86" spans="1:25" ht="12.75" hidden="1">
      <c r="A86" s="20">
        <v>27</v>
      </c>
      <c r="B86" s="22" t="str">
        <f ca="1">IFERROR(__xludf.DUMMYFUNCTION("""COMPUTED_VALUE"""),"Бухарев Артем Дмитриевич")</f>
        <v>Бухарев Артем Дмитриевич</v>
      </c>
      <c r="C86" s="19"/>
      <c r="D86" s="2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6" s="19">
        <f ca="1">IFERROR(__xludf.DUMMYFUNCTION("""COMPUTED_VALUE"""),7)</f>
        <v>7</v>
      </c>
      <c r="F86" s="22" t="str">
        <f ca="1">IFERROR(__xludf.DUMMYFUNCTION("""COMPUTED_VALUE"""),"Языкова Светлана Александровна")</f>
        <v>Языкова Светлана Александровна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23"/>
      <c r="W86" s="20"/>
      <c r="X86" s="20"/>
      <c r="Y86" s="20"/>
    </row>
    <row r="87" spans="1:25" ht="12.75" hidden="1">
      <c r="A87" s="20">
        <v>27</v>
      </c>
      <c r="B87" s="22" t="str">
        <f ca="1">IFERROR(__xludf.DUMMYFUNCTION("""COMPUTED_VALUE"""),"Петренко Никита Анатольевич")</f>
        <v>Петренко Никита Анатольевич</v>
      </c>
      <c r="C87" s="19"/>
      <c r="D87" s="2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87" s="19">
        <f ca="1">IFERROR(__xludf.DUMMYFUNCTION("""COMPUTED_VALUE"""),7)</f>
        <v>7</v>
      </c>
      <c r="F87" s="22" t="str">
        <f ca="1">IFERROR(__xludf.DUMMYFUNCTION("""COMPUTED_VALUE"""),"Языкова Светлана Александровна")</f>
        <v>Языкова Светлана Александровна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23"/>
      <c r="W87" s="20"/>
      <c r="X87" s="20"/>
      <c r="Y87" s="20"/>
    </row>
    <row r="88" spans="1:25" ht="12.75" hidden="1">
      <c r="A88" s="20">
        <v>27</v>
      </c>
      <c r="B88" s="22" t="str">
        <f ca="1">IFERROR(__xludf.DUMMYFUNCTION("""COMPUTED_VALUE"""),"Мельникова Алёна Алексеевна")</f>
        <v>Мельникова Алёна Алексеевна</v>
      </c>
      <c r="C88" s="19"/>
      <c r="D88" s="22" t="str">
        <f ca="1">IFERROR(__xludf.DUMMYFUNCTION("""COMPUTED_VALUE"""),"МОУ ""СОШ с. Шумейка""")</f>
        <v>МОУ "СОШ с. Шумейка"</v>
      </c>
      <c r="E88" s="19">
        <f ca="1">IFERROR(__xludf.DUMMYFUNCTION("""COMPUTED_VALUE"""),7)</f>
        <v>7</v>
      </c>
      <c r="F88" s="22" t="str">
        <f ca="1">IFERROR(__xludf.DUMMYFUNCTION("""COMPUTED_VALUE"""),"Полякова Наталия Викторовна")</f>
        <v>Полякова Наталия Викторовна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23"/>
      <c r="W88" s="20"/>
      <c r="X88" s="20"/>
      <c r="Y88" s="20"/>
    </row>
    <row r="89" spans="1:25" ht="12.75" hidden="1">
      <c r="A89" s="20">
        <v>27</v>
      </c>
      <c r="B89" s="22" t="str">
        <f ca="1">IFERROR(__xludf.DUMMYFUNCTION("""COMPUTED_VALUE"""),"Шарипова Самира Анатольевна")</f>
        <v>Шарипова Самира Анатольевна</v>
      </c>
      <c r="C89" s="19"/>
      <c r="D89" s="22" t="str">
        <f ca="1">IFERROR(__xludf.DUMMYFUNCTION("""COMPUTED_VALUE"""),"МОУ ""СОШ п. им. К. Маркса""")</f>
        <v>МОУ "СОШ п. им. К. Маркса"</v>
      </c>
      <c r="E89" s="19">
        <f ca="1">IFERROR(__xludf.DUMMYFUNCTION("""COMPUTED_VALUE"""),7)</f>
        <v>7</v>
      </c>
      <c r="F89" s="22" t="str">
        <f ca="1">IFERROR(__xludf.DUMMYFUNCTION("""COMPUTED_VALUE"""),"Постнова Ольга Вениаминовна")</f>
        <v>Постнова Ольга Вениаминовна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23"/>
      <c r="W89" s="20"/>
      <c r="X89" s="20"/>
      <c r="Y89" s="20"/>
    </row>
    <row r="90" spans="1:25" ht="12.75" hidden="1">
      <c r="A90" s="20">
        <v>27</v>
      </c>
      <c r="B90" s="22" t="str">
        <f ca="1">IFERROR(__xludf.DUMMYFUNCTION("""COMPUTED_VALUE"""),"Мигунова Софья Вячеславовна")</f>
        <v>Мигунова Софья Вячеславовна</v>
      </c>
      <c r="C90" s="19"/>
      <c r="D90" s="22" t="str">
        <f ca="1">IFERROR(__xludf.DUMMYFUNCTION("""COMPUTED_VALUE"""),"МОУ ""СОШ №33""")</f>
        <v>МОУ "СОШ №33"</v>
      </c>
      <c r="E90" s="19">
        <f ca="1">IFERROR(__xludf.DUMMYFUNCTION("""COMPUTED_VALUE"""),7)</f>
        <v>7</v>
      </c>
      <c r="F90" s="22" t="str">
        <f ca="1">IFERROR(__xludf.DUMMYFUNCTION("""COMPUTED_VALUE"""),"Сибряева Надежда Васильевна")</f>
        <v>Сибряева Надежда Васильевна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23"/>
      <c r="W90" s="20"/>
      <c r="X90" s="20"/>
      <c r="Y90" s="20"/>
    </row>
    <row r="91" spans="1:25" ht="12.75" hidden="1">
      <c r="A91" s="20">
        <v>27</v>
      </c>
      <c r="B91" s="22" t="str">
        <f ca="1">IFERROR(__xludf.DUMMYFUNCTION("""COMPUTED_VALUE"""),"Масков Иван Сергеевич")</f>
        <v>Масков Иван Сергеевич</v>
      </c>
      <c r="C91" s="19"/>
      <c r="D91" s="22" t="str">
        <f ca="1">IFERROR(__xludf.DUMMYFUNCTION("""COMPUTED_VALUE"""),"МОУ ""СОШ ""Патриот"" с кадетскими классами""")</f>
        <v>МОУ "СОШ "Патриот" с кадетскими классами"</v>
      </c>
      <c r="E91" s="19">
        <f ca="1">IFERROR(__xludf.DUMMYFUNCTION("""COMPUTED_VALUE"""),7)</f>
        <v>7</v>
      </c>
      <c r="F91" s="22" t="str">
        <f ca="1">IFERROR(__xludf.DUMMYFUNCTION("""COMPUTED_VALUE"""),"Языкова Светлана Александровна")</f>
        <v>Языкова Светлана Александровна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23"/>
      <c r="W91" s="20"/>
      <c r="X91" s="20"/>
      <c r="Y91" s="20"/>
    </row>
    <row r="92" spans="1:25" ht="12.75" hidden="1">
      <c r="A92" s="20">
        <v>27</v>
      </c>
      <c r="B92" s="22" t="str">
        <f ca="1">IFERROR(__xludf.DUMMYFUNCTION("""COMPUTED_VALUE"""),"Курганова Виктория Маратовна")</f>
        <v>Курганова Виктория Маратовна</v>
      </c>
      <c r="C92" s="19"/>
      <c r="D92" s="22" t="str">
        <f ca="1">IFERROR(__xludf.DUMMYFUNCTION("""COMPUTED_VALUE"""),"МОУ ""ООШ с. Ленинское""")</f>
        <v>МОУ "ООШ с. Ленинское"</v>
      </c>
      <c r="E92" s="19">
        <f ca="1">IFERROR(__xludf.DUMMYFUNCTION("""COMPUTED_VALUE"""),7)</f>
        <v>7</v>
      </c>
      <c r="F92" s="22" t="str">
        <f ca="1">IFERROR(__xludf.DUMMYFUNCTION("""COMPUTED_VALUE"""),"Савиных Людмила Васильевна")</f>
        <v>Савиных Людмила Васильевна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23"/>
      <c r="W92" s="20"/>
      <c r="X92" s="20"/>
      <c r="Y92" s="20"/>
    </row>
    <row r="93" spans="1:25" ht="12.75" hidden="1">
      <c r="A93" s="20">
        <v>27</v>
      </c>
      <c r="B93" s="25" t="str">
        <f ca="1">IFERROR(__xludf.DUMMYFUNCTION("IMPORTRANGE(""https://docs.google.com/spreadsheets/d/16CWr8ky6L0i1S4UOLMYHizeHS6aZnIDEnQPyRJyTpcI/edit#gid=0"", ""СОШ п. Придорожный!B13:O17"")"),"Смагулов Надирхан Кайратович")</f>
        <v>Смагулов Надирхан Кайратович</v>
      </c>
      <c r="C93" s="19"/>
      <c r="D93" s="22" t="str">
        <f ca="1">IFERROR(__xludf.DUMMYFUNCTION("""COMPUTED_VALUE"""),"МОУ ""СОШ п. Придорожный""")</f>
        <v>МОУ "СОШ п. Придорожный"</v>
      </c>
      <c r="E93" s="19">
        <f ca="1">IFERROR(__xludf.DUMMYFUNCTION("""COMPUTED_VALUE"""),7)</f>
        <v>7</v>
      </c>
      <c r="F93" s="22" t="str">
        <f ca="1">IFERROR(__xludf.DUMMYFUNCTION("""COMPUTED_VALUE"""),"Демешко Екатерина Валерьевна")</f>
        <v>Демешко Екатерина Валерьевна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23"/>
      <c r="W93" s="20"/>
      <c r="X93" s="20"/>
      <c r="Y93" s="20"/>
    </row>
    <row r="94" spans="1:25" ht="12.75" hidden="1">
      <c r="A94" s="20">
        <v>27</v>
      </c>
      <c r="B94" s="22" t="str">
        <f ca="1">IFERROR(__xludf.DUMMYFUNCTION("""COMPUTED_VALUE"""),"Туркова Дарья Сергеевна ")</f>
        <v xml:space="preserve">Туркова Дарья Сергеевна </v>
      </c>
      <c r="C94" s="19"/>
      <c r="D94" s="22" t="str">
        <f ca="1">IFERROR(__xludf.DUMMYFUNCTION("""COMPUTED_VALUE"""),"МОУ ""СОШ с. Шумейка""")</f>
        <v>МОУ "СОШ с. Шумейка"</v>
      </c>
      <c r="E94" s="19">
        <f ca="1">IFERROR(__xludf.DUMMYFUNCTION("""COMPUTED_VALUE"""),7)</f>
        <v>7</v>
      </c>
      <c r="F94" s="22" t="str">
        <f ca="1">IFERROR(__xludf.DUMMYFUNCTION("""COMPUTED_VALUE"""),"Полякова Наталия Викторовна")</f>
        <v>Полякова Наталия Викторовна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23"/>
      <c r="W94" s="20"/>
      <c r="X94" s="20"/>
      <c r="Y94" s="20"/>
    </row>
    <row r="95" spans="1:25" ht="15.75" hidden="1" customHeight="1">
      <c r="A95" s="20">
        <v>27</v>
      </c>
      <c r="B95" s="22" t="str">
        <f ca="1">IFERROR(__xludf.DUMMYFUNCTION("""COMPUTED_VALUE"""),"Гаврилина Виктория Алексеевна")</f>
        <v>Гаврилина Виктория Алексеевна</v>
      </c>
      <c r="C95" s="19"/>
      <c r="D95" s="22" t="str">
        <f ca="1">IFERROR(__xludf.DUMMYFUNCTION("""COMPUTED_VALUE"""),"МОУ ""СОШ п. Придорожный""")</f>
        <v>МОУ "СОШ п. Придорожный"</v>
      </c>
      <c r="E95" s="19">
        <f ca="1">IFERROR(__xludf.DUMMYFUNCTION("""COMPUTED_VALUE"""),7)</f>
        <v>7</v>
      </c>
      <c r="F95" s="22" t="str">
        <f ca="1">IFERROR(__xludf.DUMMYFUNCTION("""COMPUTED_VALUE"""),"Демешко Екатерина Валерьевна")</f>
        <v>Демешко Екатерина Валерьевна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3"/>
      <c r="W95" s="20"/>
      <c r="X95" s="20"/>
      <c r="Y95" s="20"/>
    </row>
    <row r="96" spans="1:25" ht="15.75" customHeight="1">
      <c r="A96" s="20">
        <v>27</v>
      </c>
      <c r="B96" s="24" t="str">
        <f ca="1">IFERROR(__xludf.DUMMYFUNCTION("IMPORTRANGE(""https://docs.google.com/spreadsheets/d/16CWr8ky6L0i1S4UOLMYHizeHS6aZnIDEnQPyRJyTpcI/edit#gid=0"", ""СОШ №4!B13:O17"")"),"Шатило Анастасия Денисовны")</f>
        <v>Шатило Анастасия Денисовны</v>
      </c>
      <c r="C96" s="20"/>
      <c r="D96" s="76" t="s">
        <v>93</v>
      </c>
      <c r="E96" s="20">
        <f ca="1">IFERROR(__xludf.DUMMYFUNCTION("""COMPUTED_VALUE"""),7)</f>
        <v>7</v>
      </c>
      <c r="F96" s="24" t="str">
        <f ca="1">IFERROR(__xludf.DUMMYFUNCTION("""COMPUTED_VALUE"""),"Баранова Оксана Анатольевна")</f>
        <v>Баранова Оксана Анатольевна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23"/>
      <c r="W96" s="20"/>
      <c r="X96" s="20"/>
      <c r="Y96" s="20"/>
    </row>
    <row r="97" spans="2:3" ht="15.75" customHeight="1">
      <c r="B97" s="47" t="s">
        <v>87</v>
      </c>
    </row>
    <row r="98" spans="2:3" ht="15.75" customHeight="1">
      <c r="B98" s="47" t="s">
        <v>79</v>
      </c>
    </row>
    <row r="99" spans="2:3" ht="15.75" customHeight="1">
      <c r="B99" s="47" t="s">
        <v>80</v>
      </c>
    </row>
    <row r="100" spans="2:3" ht="15.75" customHeight="1">
      <c r="B100" s="47" t="s">
        <v>83</v>
      </c>
    </row>
    <row r="101" spans="2:3" ht="15.75" customHeight="1">
      <c r="B101" s="47" t="s">
        <v>81</v>
      </c>
    </row>
    <row r="102" spans="2:3" ht="15.75" customHeight="1">
      <c r="B102" s="47" t="s">
        <v>84</v>
      </c>
      <c r="C102" s="46"/>
    </row>
    <row r="103" spans="2:3" ht="15.75" customHeight="1">
      <c r="B103" s="47" t="s">
        <v>82</v>
      </c>
    </row>
    <row r="104" spans="2:3" ht="15.75" customHeight="1">
      <c r="B104" s="47" t="s">
        <v>85</v>
      </c>
    </row>
    <row r="105" spans="2:3" ht="15.75" customHeight="1">
      <c r="B105" s="48" t="s">
        <v>86</v>
      </c>
    </row>
  </sheetData>
  <autoFilter ref="A5:Y96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sortState ref="B7:W24">
    <sortCondition descending="1" ref="W7:W24"/>
  </sortState>
  <mergeCells count="13">
    <mergeCell ref="X5:X6"/>
    <mergeCell ref="W5:W6"/>
    <mergeCell ref="V5:V6"/>
    <mergeCell ref="A2:Z2"/>
    <mergeCell ref="A3:Z3"/>
    <mergeCell ref="A4:Z4"/>
    <mergeCell ref="A5:A6"/>
    <mergeCell ref="B5:B6"/>
    <mergeCell ref="C5:C6"/>
    <mergeCell ref="D5:D6"/>
    <mergeCell ref="E5:E6"/>
    <mergeCell ref="F5:F6"/>
    <mergeCell ref="G5:S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19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19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19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19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19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19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19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19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19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19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19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19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19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19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19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19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19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19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19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19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19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19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19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19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19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19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19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19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19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19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19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19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19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19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19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20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20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20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20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20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20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20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20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20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20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20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20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20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20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20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20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20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20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20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20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20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20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20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20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20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20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20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20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20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20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20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20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20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20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20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21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21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21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21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21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21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21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21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21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21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21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21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21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21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21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21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21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21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21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21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21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21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21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21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21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21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21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21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21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21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21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21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21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21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21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22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22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22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22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22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22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22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22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22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22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22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22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22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22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22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22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22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22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22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22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22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22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22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22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22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22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22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22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22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22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22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22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22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22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22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23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23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23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23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23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23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23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23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23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23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23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23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23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23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23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23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23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23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23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23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23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23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23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23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23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23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23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23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23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23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23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23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23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23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23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24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24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24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24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24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24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24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24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24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24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24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24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24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24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24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24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24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24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24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24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24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24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24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24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24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24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24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24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24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24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24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24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24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24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24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25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25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25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25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25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25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25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25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25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25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25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25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25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25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25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25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25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25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25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25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25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25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25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25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25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25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25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25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25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25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25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25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25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25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25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26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26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26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26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26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26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26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26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26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26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26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26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26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26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26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26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26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26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26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26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26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26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26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26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26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26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26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26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26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26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26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26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26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26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26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27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27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27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27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27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27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27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27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27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27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27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27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27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27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27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27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27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27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27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27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27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27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27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27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27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27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27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27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27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27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27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27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27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27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27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28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28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28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28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28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28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28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28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28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28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28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28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28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28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28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28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28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28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28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28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28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28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28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28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28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28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28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28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28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28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28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28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28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28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28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9"/>
  <sheetViews>
    <sheetView topLeftCell="I1" zoomScale="80" zoomScaleNormal="80" workbookViewId="0">
      <selection activeCell="Y5" sqref="Y5"/>
    </sheetView>
  </sheetViews>
  <sheetFormatPr defaultColWidth="14.42578125" defaultRowHeight="15.75" customHeight="1"/>
  <cols>
    <col min="1" max="1" width="7" customWidth="1"/>
    <col min="2" max="2" width="34" customWidth="1"/>
    <col min="3" max="3" width="14" customWidth="1"/>
    <col min="4" max="4" width="41.5703125" customWidth="1"/>
    <col min="5" max="5" width="9.85546875" customWidth="1"/>
    <col min="6" max="6" width="32.7109375" customWidth="1"/>
    <col min="7" max="19" width="8.7109375" customWidth="1"/>
    <col min="20" max="20" width="10.85546875" hidden="1" customWidth="1"/>
    <col min="23" max="23" width="14.5703125" style="14" customWidth="1"/>
    <col min="24" max="24" width="14.42578125" style="14"/>
    <col min="25" max="25" width="20.28515625" customWidth="1"/>
  </cols>
  <sheetData>
    <row r="1" spans="1:26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.75" customHeight="1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.75" customHeigh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2.75" customHeight="1">
      <c r="A5" s="53" t="s">
        <v>0</v>
      </c>
      <c r="B5" s="53" t="s">
        <v>1</v>
      </c>
      <c r="C5" s="55" t="s">
        <v>2</v>
      </c>
      <c r="D5" s="75" t="s">
        <v>3</v>
      </c>
      <c r="E5" s="66" t="s">
        <v>4</v>
      </c>
      <c r="F5" s="53" t="s">
        <v>5</v>
      </c>
      <c r="G5" s="52" t="s">
        <v>6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41"/>
      <c r="U5" s="27" t="s">
        <v>11</v>
      </c>
      <c r="V5" s="27" t="s">
        <v>7</v>
      </c>
      <c r="W5" s="27" t="s">
        <v>8</v>
      </c>
      <c r="X5" s="27" t="s">
        <v>9</v>
      </c>
      <c r="Y5" s="43" t="s">
        <v>10</v>
      </c>
    </row>
    <row r="6" spans="1:26" ht="12.75">
      <c r="A6" s="54"/>
      <c r="B6" s="54"/>
      <c r="C6" s="56"/>
      <c r="D6" s="75"/>
      <c r="E6" s="67"/>
      <c r="F6" s="54"/>
      <c r="G6" s="39" t="s">
        <v>53</v>
      </c>
      <c r="H6" s="39" t="s">
        <v>69</v>
      </c>
      <c r="I6" s="39" t="s">
        <v>70</v>
      </c>
      <c r="J6" s="39" t="s">
        <v>71</v>
      </c>
      <c r="K6" s="39" t="s">
        <v>72</v>
      </c>
      <c r="L6" s="39" t="s">
        <v>73</v>
      </c>
      <c r="M6" s="39" t="s">
        <v>59</v>
      </c>
      <c r="N6" s="39" t="s">
        <v>74</v>
      </c>
      <c r="O6" s="39" t="s">
        <v>75</v>
      </c>
      <c r="P6" s="39" t="s">
        <v>62</v>
      </c>
      <c r="Q6" s="40" t="s">
        <v>76</v>
      </c>
      <c r="R6" s="40" t="s">
        <v>64</v>
      </c>
      <c r="S6" s="40" t="s">
        <v>77</v>
      </c>
      <c r="T6" s="45"/>
      <c r="U6" s="31" t="s">
        <v>78</v>
      </c>
      <c r="V6" s="31"/>
      <c r="W6" s="31"/>
      <c r="X6" s="31"/>
      <c r="Y6" s="31"/>
    </row>
    <row r="7" spans="1:26" ht="12.75">
      <c r="A7" s="19">
        <v>1</v>
      </c>
      <c r="B7" s="33" t="s">
        <v>12</v>
      </c>
      <c r="C7" s="72">
        <v>811</v>
      </c>
      <c r="D7" s="82" t="s">
        <v>90</v>
      </c>
      <c r="E7" s="74">
        <v>8</v>
      </c>
      <c r="F7" s="33" t="s">
        <v>13</v>
      </c>
      <c r="G7" s="19">
        <v>4</v>
      </c>
      <c r="H7" s="19">
        <v>2</v>
      </c>
      <c r="I7" s="19">
        <v>2</v>
      </c>
      <c r="J7" s="19">
        <v>4</v>
      </c>
      <c r="K7" s="19">
        <v>4</v>
      </c>
      <c r="L7" s="19">
        <v>4</v>
      </c>
      <c r="M7" s="19">
        <v>2</v>
      </c>
      <c r="N7" s="19">
        <v>6</v>
      </c>
      <c r="O7" s="19">
        <v>4</v>
      </c>
      <c r="P7" s="19">
        <v>6</v>
      </c>
      <c r="Q7" s="19">
        <v>5</v>
      </c>
      <c r="R7" s="19">
        <v>6</v>
      </c>
      <c r="S7" s="19">
        <v>6</v>
      </c>
      <c r="T7" s="19"/>
      <c r="U7" s="19">
        <f>SUM(G7:S7)</f>
        <v>55</v>
      </c>
      <c r="V7" s="32"/>
      <c r="W7" s="23">
        <f>U7</f>
        <v>55</v>
      </c>
      <c r="X7" s="19">
        <v>1</v>
      </c>
      <c r="Y7" s="19"/>
    </row>
    <row r="8" spans="1:26" ht="12.75">
      <c r="A8" s="20">
        <v>2</v>
      </c>
      <c r="B8" s="22" t="str">
        <f ca="1">IFERROR(__xludf.DUMMYFUNCTION("""COMPUTED_VALUE"""),"Максимова Вероника Юрьевна")</f>
        <v>Максимова Вероника Юрьевна</v>
      </c>
      <c r="C8" s="72">
        <v>801</v>
      </c>
      <c r="D8" s="82" t="s">
        <v>88</v>
      </c>
      <c r="E8" s="69">
        <f ca="1">IFERROR(__xludf.DUMMYFUNCTION("""COMPUTED_VALUE"""),8)</f>
        <v>8</v>
      </c>
      <c r="F8" s="22" t="str">
        <f ca="1">IFERROR(__xludf.DUMMYFUNCTION("""COMPUTED_VALUE"""),"Языкова Светлана Александровна")</f>
        <v>Языкова Светлана Александровна</v>
      </c>
      <c r="G8" s="19">
        <v>0</v>
      </c>
      <c r="H8" s="19">
        <v>0</v>
      </c>
      <c r="I8" s="19">
        <v>2</v>
      </c>
      <c r="J8" s="19">
        <v>0</v>
      </c>
      <c r="K8" s="19">
        <v>4</v>
      </c>
      <c r="L8" s="19">
        <v>4</v>
      </c>
      <c r="M8" s="19">
        <v>2</v>
      </c>
      <c r="N8" s="19">
        <v>6</v>
      </c>
      <c r="O8" s="19">
        <v>6</v>
      </c>
      <c r="P8" s="19">
        <v>4</v>
      </c>
      <c r="Q8" s="19">
        <v>4</v>
      </c>
      <c r="R8" s="19">
        <v>6</v>
      </c>
      <c r="S8" s="19">
        <v>6</v>
      </c>
      <c r="T8" s="19"/>
      <c r="U8" s="19">
        <f>SUM(G8:S8)</f>
        <v>44</v>
      </c>
      <c r="V8" s="32"/>
      <c r="W8" s="23">
        <f>U8</f>
        <v>44</v>
      </c>
      <c r="X8" s="20">
        <v>2</v>
      </c>
      <c r="Y8" s="19"/>
    </row>
    <row r="9" spans="1:26" ht="12.75">
      <c r="A9" s="20">
        <v>3</v>
      </c>
      <c r="B9" s="24" t="str">
        <f ca="1">IFERROR(__xludf.DUMMYFUNCTION("""COMPUTED_VALUE"""),"Тарабрин Дмитрий Витальевич")</f>
        <v>Тарабрин Дмитрий Витальевич</v>
      </c>
      <c r="C9" s="73">
        <v>816</v>
      </c>
      <c r="D9" s="24" t="str">
        <f ca="1">IFERROR(__xludf.DUMMYFUNCTION("""COMPUTED_VALUE"""),"МОУ ""СОШ №19""")</f>
        <v>МОУ "СОШ №19"</v>
      </c>
      <c r="E9" s="68">
        <f ca="1">IFERROR(__xludf.DUMMYFUNCTION("""COMPUTED_VALUE"""),8)</f>
        <v>8</v>
      </c>
      <c r="F9" s="24" t="str">
        <f ca="1">IFERROR(__xludf.DUMMYFUNCTION("""COMPUTED_VALUE"""),"Карташова Анна Александровна")</f>
        <v>Карташова Анна Александровна</v>
      </c>
      <c r="G9" s="20">
        <v>4</v>
      </c>
      <c r="H9" s="20">
        <v>0</v>
      </c>
      <c r="I9" s="20">
        <v>2</v>
      </c>
      <c r="J9" s="20">
        <v>2</v>
      </c>
      <c r="K9" s="20">
        <v>4</v>
      </c>
      <c r="L9" s="20">
        <v>2</v>
      </c>
      <c r="M9" s="20">
        <v>2</v>
      </c>
      <c r="N9" s="20">
        <v>2</v>
      </c>
      <c r="O9" s="20">
        <v>5</v>
      </c>
      <c r="P9" s="20">
        <v>6</v>
      </c>
      <c r="Q9" s="20">
        <v>2</v>
      </c>
      <c r="R9" s="20">
        <v>4</v>
      </c>
      <c r="S9" s="20">
        <v>6</v>
      </c>
      <c r="T9" s="20"/>
      <c r="U9" s="19">
        <f>SUM(G9:S9)</f>
        <v>41</v>
      </c>
      <c r="V9" s="32"/>
      <c r="W9" s="23">
        <f>U9</f>
        <v>41</v>
      </c>
      <c r="X9" s="20">
        <v>3</v>
      </c>
      <c r="Y9" s="19"/>
    </row>
    <row r="10" spans="1:26" ht="12.75">
      <c r="A10" s="20">
        <v>4</v>
      </c>
      <c r="B10" s="22" t="str">
        <f ca="1">IFERROR(__xludf.DUMMYFUNCTION("""COMPUTED_VALUE"""),"Шахова Ксения Александровна")</f>
        <v>Шахова Ксения Александровна</v>
      </c>
      <c r="C10" s="72">
        <v>807</v>
      </c>
      <c r="D10" s="22" t="str">
        <f ca="1">IFERROR(__xludf.DUMMYFUNCTION("""COMPUTED_VALUE"""),"МОУ ""СОШ п. Новопушкинское""")</f>
        <v>МОУ "СОШ п. Новопушкинское"</v>
      </c>
      <c r="E10" s="69">
        <f ca="1">IFERROR(__xludf.DUMMYFUNCTION("""COMPUTED_VALUE"""),8)</f>
        <v>8</v>
      </c>
      <c r="F10" s="22" t="str">
        <f ca="1">IFERROR(__xludf.DUMMYFUNCTION("""COMPUTED_VALUE"""),"Юшенова Лариса Николаевна")</f>
        <v>Юшенова Лариса Николаевна</v>
      </c>
      <c r="G10" s="20">
        <v>2</v>
      </c>
      <c r="H10" s="20">
        <v>0</v>
      </c>
      <c r="I10" s="20">
        <v>2</v>
      </c>
      <c r="J10" s="20">
        <v>2</v>
      </c>
      <c r="K10" s="20">
        <v>4</v>
      </c>
      <c r="L10" s="20">
        <v>4</v>
      </c>
      <c r="M10" s="20">
        <v>0</v>
      </c>
      <c r="N10" s="20">
        <v>2</v>
      </c>
      <c r="O10" s="20">
        <v>4</v>
      </c>
      <c r="P10" s="20">
        <v>6</v>
      </c>
      <c r="Q10" s="20">
        <v>4</v>
      </c>
      <c r="R10" s="20">
        <v>6</v>
      </c>
      <c r="S10" s="20">
        <v>4</v>
      </c>
      <c r="T10" s="20"/>
      <c r="U10" s="19">
        <f>SUM(G10:S10)</f>
        <v>40</v>
      </c>
      <c r="V10" s="32"/>
      <c r="W10" s="23">
        <f>U10</f>
        <v>40</v>
      </c>
      <c r="X10" s="19">
        <v>4</v>
      </c>
      <c r="Y10" s="19"/>
    </row>
    <row r="11" spans="1:26" ht="12.75">
      <c r="A11" s="19">
        <v>5</v>
      </c>
      <c r="B11" s="24" t="str">
        <f ca="1">IFERROR(__xludf.DUMMYFUNCTION("""COMPUTED_VALUE"""),"Якушина Варвара Никитична")</f>
        <v>Якушина Варвара Никитична</v>
      </c>
      <c r="C11" s="73">
        <v>810</v>
      </c>
      <c r="D11" s="82" t="s">
        <v>91</v>
      </c>
      <c r="E11" s="68">
        <f ca="1">IFERROR(__xludf.DUMMYFUNCTION("""COMPUTED_VALUE"""),8)</f>
        <v>8</v>
      </c>
      <c r="F11" s="24" t="str">
        <f ca="1">IFERROR(__xludf.DUMMYFUNCTION("""COMPUTED_VALUE"""),"Мотавкина Светлана Сергеевна")</f>
        <v>Мотавкина Светлана Сергеевна</v>
      </c>
      <c r="G11" s="19">
        <v>2</v>
      </c>
      <c r="H11" s="19">
        <v>2</v>
      </c>
      <c r="I11" s="19">
        <v>1</v>
      </c>
      <c r="J11" s="19">
        <v>2</v>
      </c>
      <c r="K11" s="19">
        <v>4</v>
      </c>
      <c r="L11" s="19">
        <v>4</v>
      </c>
      <c r="M11" s="19">
        <v>2</v>
      </c>
      <c r="N11" s="19">
        <v>4</v>
      </c>
      <c r="O11" s="19">
        <v>5</v>
      </c>
      <c r="P11" s="19">
        <v>2</v>
      </c>
      <c r="Q11" s="19">
        <v>4</v>
      </c>
      <c r="R11" s="19">
        <v>0</v>
      </c>
      <c r="S11" s="19">
        <v>4</v>
      </c>
      <c r="T11" s="19"/>
      <c r="U11" s="19">
        <f>SUM(G11:S11)</f>
        <v>36</v>
      </c>
      <c r="V11" s="32"/>
      <c r="W11" s="23">
        <f>U11</f>
        <v>36</v>
      </c>
      <c r="X11" s="20">
        <v>5</v>
      </c>
      <c r="Y11" s="19"/>
    </row>
    <row r="12" spans="1:26" ht="12.75">
      <c r="A12" s="20">
        <v>6</v>
      </c>
      <c r="B12" s="24" t="str">
        <f ca="1">IFERROR(__xludf.DUMMYFUNCTION("""COMPUTED_VALUE"""),"Дробит Кристина Михайловна")</f>
        <v>Дробит Кристина Михайловна</v>
      </c>
      <c r="C12" s="73">
        <v>815</v>
      </c>
      <c r="D12" s="24" t="str">
        <f ca="1">IFERROR(__xludf.DUMMYFUNCTION("""COMPUTED_VALUE"""),"МОУ ""СОШ №1""")</f>
        <v>МОУ "СОШ №1"</v>
      </c>
      <c r="E12" s="68">
        <f ca="1">IFERROR(__xludf.DUMMYFUNCTION("""COMPUTED_VALUE"""),8)</f>
        <v>8</v>
      </c>
      <c r="F12" s="24" t="str">
        <f ca="1">IFERROR(__xludf.DUMMYFUNCTION("""COMPUTED_VALUE"""),"Решетникова Светлана Евгеньевна")</f>
        <v>Решетникова Светлана Евгеньевна</v>
      </c>
      <c r="G12" s="20">
        <v>2</v>
      </c>
      <c r="H12" s="20">
        <v>2</v>
      </c>
      <c r="I12" s="20">
        <v>0</v>
      </c>
      <c r="J12" s="20">
        <v>2</v>
      </c>
      <c r="K12" s="20">
        <v>4</v>
      </c>
      <c r="L12" s="20">
        <v>4</v>
      </c>
      <c r="M12" s="20">
        <v>2</v>
      </c>
      <c r="N12" s="20">
        <v>4</v>
      </c>
      <c r="O12" s="20">
        <v>2</v>
      </c>
      <c r="P12" s="20">
        <v>4</v>
      </c>
      <c r="Q12" s="20">
        <v>6</v>
      </c>
      <c r="R12" s="20">
        <v>2</v>
      </c>
      <c r="S12" s="20">
        <v>2</v>
      </c>
      <c r="T12" s="20"/>
      <c r="U12" s="19">
        <f>SUM(G12:S12)</f>
        <v>36</v>
      </c>
      <c r="V12" s="32"/>
      <c r="W12" s="23">
        <f>U12</f>
        <v>36</v>
      </c>
      <c r="X12" s="20">
        <v>6</v>
      </c>
      <c r="Y12" s="19"/>
    </row>
    <row r="13" spans="1:26" ht="12.75">
      <c r="A13" s="20">
        <v>7</v>
      </c>
      <c r="B13" s="24" t="str">
        <f ca="1">IFERROR(__xludf.DUMMYFUNCTION("""COMPUTED_VALUE"""),"Вострухов Андрей Алексеевич")</f>
        <v>Вострухов Андрей Алексеевич</v>
      </c>
      <c r="C13" s="73">
        <v>812</v>
      </c>
      <c r="D13" s="82" t="s">
        <v>94</v>
      </c>
      <c r="E13" s="68">
        <f ca="1">IFERROR(__xludf.DUMMYFUNCTION("""COMPUTED_VALUE"""),8)</f>
        <v>8</v>
      </c>
      <c r="F13" s="24" t="str">
        <f ca="1">IFERROR(__xludf.DUMMYFUNCTION("""COMPUTED_VALUE"""),"Сибряева Надежда Васильевна")</f>
        <v>Сибряева Надежда Васильевна</v>
      </c>
      <c r="G13" s="20">
        <v>4</v>
      </c>
      <c r="H13" s="20">
        <v>2</v>
      </c>
      <c r="I13" s="20">
        <v>0</v>
      </c>
      <c r="J13" s="20">
        <v>2</v>
      </c>
      <c r="K13" s="20">
        <v>2</v>
      </c>
      <c r="L13" s="20">
        <v>4</v>
      </c>
      <c r="M13" s="20">
        <v>2</v>
      </c>
      <c r="N13" s="20">
        <v>4</v>
      </c>
      <c r="O13" s="20">
        <v>5</v>
      </c>
      <c r="P13" s="20">
        <v>6</v>
      </c>
      <c r="Q13" s="20">
        <v>2</v>
      </c>
      <c r="R13" s="20">
        <v>0</v>
      </c>
      <c r="S13" s="20">
        <v>2</v>
      </c>
      <c r="T13" s="20"/>
      <c r="U13" s="19">
        <f>SUM(G13:S13)</f>
        <v>35</v>
      </c>
      <c r="V13" s="24"/>
      <c r="W13" s="23">
        <f>U13</f>
        <v>35</v>
      </c>
      <c r="X13" s="19">
        <v>7</v>
      </c>
      <c r="Y13" s="19"/>
    </row>
    <row r="14" spans="1:26" ht="12.75">
      <c r="A14" s="19">
        <v>8</v>
      </c>
      <c r="B14" s="24" t="str">
        <f ca="1">IFERROR(__xludf.DUMMYFUNCTION("""COMPUTED_VALUE"""),"Спиридонова Анна Константиновна")</f>
        <v>Спиридонова Анна Константиновна</v>
      </c>
      <c r="C14" s="73">
        <v>802</v>
      </c>
      <c r="D14" s="82" t="s">
        <v>88</v>
      </c>
      <c r="E14" s="68">
        <f ca="1">IFERROR(__xludf.DUMMYFUNCTION("""COMPUTED_VALUE"""),8)</f>
        <v>8</v>
      </c>
      <c r="F14" s="24" t="str">
        <f ca="1">IFERROR(__xludf.DUMMYFUNCTION("""COMPUTED_VALUE"""),"Новинкина Светлана Габдулловна")</f>
        <v>Новинкина Светлана Габдулловна</v>
      </c>
      <c r="G14" s="20">
        <v>2</v>
      </c>
      <c r="H14" s="20">
        <v>2</v>
      </c>
      <c r="I14" s="20">
        <v>2</v>
      </c>
      <c r="J14" s="20">
        <v>0</v>
      </c>
      <c r="K14" s="20">
        <v>4</v>
      </c>
      <c r="L14" s="20">
        <v>4</v>
      </c>
      <c r="M14" s="20">
        <v>2</v>
      </c>
      <c r="N14" s="20">
        <v>4</v>
      </c>
      <c r="O14" s="20">
        <v>2</v>
      </c>
      <c r="P14" s="20">
        <v>4</v>
      </c>
      <c r="Q14" s="20">
        <v>2</v>
      </c>
      <c r="R14" s="20">
        <v>4</v>
      </c>
      <c r="S14" s="20">
        <v>0</v>
      </c>
      <c r="T14" s="20"/>
      <c r="U14" s="19">
        <f>SUM(G14:S14)</f>
        <v>32</v>
      </c>
      <c r="V14" s="32"/>
      <c r="W14" s="23">
        <f>U14</f>
        <v>32</v>
      </c>
      <c r="X14" s="20">
        <v>8</v>
      </c>
      <c r="Y14" s="19"/>
    </row>
    <row r="15" spans="1:26" ht="12.75">
      <c r="A15" s="20">
        <v>9</v>
      </c>
      <c r="B15" s="25" t="str">
        <f ca="1">IFERROR(__xludf.DUMMYFUNCTION("IMPORTRANGE(""https://docs.google.com/spreadsheets/d/16CWr8ky6L0i1S4UOLMYHizeHS6aZnIDEnQPyRJyTpcI/edit#gid=0"", ""СОШ №24!B18:O22"")"),"Арушанова Виктория Эриковна")</f>
        <v>Арушанова Виктория Эриковна</v>
      </c>
      <c r="C15" s="73">
        <v>803</v>
      </c>
      <c r="D15" s="82" t="s">
        <v>92</v>
      </c>
      <c r="E15" s="68">
        <f ca="1">IFERROR(__xludf.DUMMYFUNCTION("""COMPUTED_VALUE"""),8)</f>
        <v>8</v>
      </c>
      <c r="F15" s="24" t="str">
        <f ca="1">IFERROR(__xludf.DUMMYFUNCTION("""COMPUTED_VALUE"""),"Моисеева Татьяна Владимировна")</f>
        <v>Моисеева Татьяна Владимировна</v>
      </c>
      <c r="G15" s="20">
        <v>2</v>
      </c>
      <c r="H15" s="20">
        <v>1</v>
      </c>
      <c r="I15" s="20">
        <v>2</v>
      </c>
      <c r="J15" s="20">
        <v>2</v>
      </c>
      <c r="K15" s="20">
        <v>1</v>
      </c>
      <c r="L15" s="20">
        <v>2</v>
      </c>
      <c r="M15" s="20">
        <v>1</v>
      </c>
      <c r="N15" s="20">
        <v>3</v>
      </c>
      <c r="O15" s="20">
        <v>3</v>
      </c>
      <c r="P15" s="20">
        <v>3</v>
      </c>
      <c r="Q15" s="20">
        <v>4</v>
      </c>
      <c r="R15" s="20">
        <v>2</v>
      </c>
      <c r="S15" s="20">
        <v>4</v>
      </c>
      <c r="T15" s="20"/>
      <c r="U15" s="19">
        <f>SUM(G15:S15)</f>
        <v>30</v>
      </c>
      <c r="V15" s="32"/>
      <c r="W15" s="23">
        <f>U15</f>
        <v>30</v>
      </c>
      <c r="X15" s="20">
        <v>9</v>
      </c>
      <c r="Y15" s="19"/>
    </row>
    <row r="16" spans="1:26" ht="12.75">
      <c r="A16" s="20">
        <v>10</v>
      </c>
      <c r="B16" s="22" t="str">
        <f ca="1">IFERROR(__xludf.DUMMYFUNCTION("""COMPUTED_VALUE"""),"Лыткина Виктория Николаевна")</f>
        <v>Лыткина Виктория Николаевна</v>
      </c>
      <c r="C16" s="72">
        <v>808</v>
      </c>
      <c r="D16" s="22" t="str">
        <f ca="1">IFERROR(__xludf.DUMMYFUNCTION("""COMPUTED_VALUE"""),"МОУ ""СОШ с. Зеленый Дол""")</f>
        <v>МОУ "СОШ с. Зеленый Дол"</v>
      </c>
      <c r="E16" s="69">
        <f ca="1">IFERROR(__xludf.DUMMYFUNCTION("""COMPUTED_VALUE"""),8)</f>
        <v>8</v>
      </c>
      <c r="F16" s="22" t="str">
        <f ca="1">IFERROR(__xludf.DUMMYFUNCTION("""COMPUTED_VALUE"""),"Абдулина Нуржамал Кайруевна")</f>
        <v>Абдулина Нуржамал Кайруевна</v>
      </c>
      <c r="G16" s="20">
        <v>2</v>
      </c>
      <c r="H16" s="20">
        <v>0</v>
      </c>
      <c r="I16" s="20">
        <v>0</v>
      </c>
      <c r="J16" s="20">
        <v>2</v>
      </c>
      <c r="K16" s="20">
        <v>2</v>
      </c>
      <c r="L16" s="20">
        <v>4</v>
      </c>
      <c r="M16" s="20">
        <v>4</v>
      </c>
      <c r="N16" s="20">
        <v>4</v>
      </c>
      <c r="O16" s="20">
        <v>4</v>
      </c>
      <c r="P16" s="20">
        <v>0</v>
      </c>
      <c r="Q16" s="20">
        <v>4</v>
      </c>
      <c r="R16" s="20">
        <v>0</v>
      </c>
      <c r="S16" s="20">
        <v>0</v>
      </c>
      <c r="T16" s="20"/>
      <c r="U16" s="19">
        <f>SUM(G16:S16)</f>
        <v>26</v>
      </c>
      <c r="V16" s="32"/>
      <c r="W16" s="23">
        <f>U16</f>
        <v>26</v>
      </c>
      <c r="X16" s="19">
        <v>10</v>
      </c>
      <c r="Y16" s="19"/>
    </row>
    <row r="17" spans="1:25" ht="12.75">
      <c r="A17" s="20">
        <v>11</v>
      </c>
      <c r="B17" s="24" t="str">
        <f ca="1">IFERROR(__xludf.DUMMYFUNCTION("""COMPUTED_VALUE"""),"Козляковская Елизавета Дмитриевна")</f>
        <v>Козляковская Елизавета Дмитриевна</v>
      </c>
      <c r="C17" s="73">
        <v>813</v>
      </c>
      <c r="D17" s="82" t="s">
        <v>94</v>
      </c>
      <c r="E17" s="68">
        <f ca="1">IFERROR(__xludf.DUMMYFUNCTION("""COMPUTED_VALUE"""),8)</f>
        <v>8</v>
      </c>
      <c r="F17" s="24" t="str">
        <f ca="1">IFERROR(__xludf.DUMMYFUNCTION("""COMPUTED_VALUE"""),"Сибряева Надежда Васильевна")</f>
        <v>Сибряева Надежда Васильевна</v>
      </c>
      <c r="G17" s="19">
        <v>2</v>
      </c>
      <c r="H17" s="19">
        <v>0</v>
      </c>
      <c r="I17" s="19">
        <v>0</v>
      </c>
      <c r="J17" s="19">
        <v>0</v>
      </c>
      <c r="K17" s="19">
        <v>2</v>
      </c>
      <c r="L17" s="19">
        <v>4</v>
      </c>
      <c r="M17" s="19">
        <v>0</v>
      </c>
      <c r="N17" s="19">
        <v>2</v>
      </c>
      <c r="O17" s="19">
        <v>4</v>
      </c>
      <c r="P17" s="19">
        <v>4</v>
      </c>
      <c r="Q17" s="19">
        <v>4</v>
      </c>
      <c r="R17" s="19">
        <v>0</v>
      </c>
      <c r="S17" s="19">
        <v>0</v>
      </c>
      <c r="T17" s="19"/>
      <c r="U17" s="19">
        <f>SUM(G17:S17)</f>
        <v>22</v>
      </c>
      <c r="V17" s="24"/>
      <c r="W17" s="23">
        <f>U17</f>
        <v>22</v>
      </c>
      <c r="X17" s="20">
        <v>11</v>
      </c>
      <c r="Y17" s="19"/>
    </row>
    <row r="18" spans="1:25" ht="12.75">
      <c r="A18" s="19">
        <v>12</v>
      </c>
      <c r="B18" s="24" t="str">
        <f ca="1">IFERROR(__xludf.DUMMYFUNCTION("""COMPUTED_VALUE"""),"Бубликов Максим Дмитриевич")</f>
        <v>Бубликов Максим Дмитриевич</v>
      </c>
      <c r="C18" s="73">
        <v>804</v>
      </c>
      <c r="D18" s="82" t="s">
        <v>92</v>
      </c>
      <c r="E18" s="68">
        <f ca="1">IFERROR(__xludf.DUMMYFUNCTION("""COMPUTED_VALUE"""),8)</f>
        <v>8</v>
      </c>
      <c r="F18" s="24" t="str">
        <f ca="1">IFERROR(__xludf.DUMMYFUNCTION("""COMPUTED_VALUE"""),"Моисеева Татьяна Владимировна")</f>
        <v>Моисеева Татьяна Владимировна</v>
      </c>
      <c r="G18" s="20">
        <v>2</v>
      </c>
      <c r="H18" s="20">
        <v>0</v>
      </c>
      <c r="I18" s="20">
        <v>2</v>
      </c>
      <c r="J18" s="20">
        <v>0</v>
      </c>
      <c r="K18" s="20">
        <v>1</v>
      </c>
      <c r="L18" s="20">
        <v>1</v>
      </c>
      <c r="M18" s="20">
        <v>0</v>
      </c>
      <c r="N18" s="20">
        <v>2</v>
      </c>
      <c r="O18" s="20">
        <v>2</v>
      </c>
      <c r="P18" s="20">
        <v>2</v>
      </c>
      <c r="Q18" s="20">
        <v>6</v>
      </c>
      <c r="R18" s="20">
        <v>3</v>
      </c>
      <c r="S18" s="20">
        <v>0</v>
      </c>
      <c r="T18" s="20"/>
      <c r="U18" s="19">
        <f>SUM(G18:S18)</f>
        <v>21</v>
      </c>
      <c r="V18" s="32"/>
      <c r="W18" s="23">
        <f>U18</f>
        <v>21</v>
      </c>
      <c r="X18" s="20">
        <v>12</v>
      </c>
      <c r="Y18" s="19"/>
    </row>
    <row r="19" spans="1:25" ht="12.75">
      <c r="A19" s="20">
        <v>13</v>
      </c>
      <c r="B19" s="22" t="str">
        <f ca="1">IFERROR(__xludf.DUMMYFUNCTION("""COMPUTED_VALUE"""),"Залевский Максим Анатольевич")</f>
        <v>Залевский Максим Анатольевич</v>
      </c>
      <c r="C19" s="72">
        <v>806</v>
      </c>
      <c r="D19" s="22" t="str">
        <f ca="1">IFERROR(__xludf.DUMMYFUNCTION("""COMPUTED_VALUE"""),"МОУ ""СОШ п. Новопушкинское""")</f>
        <v>МОУ "СОШ п. Новопушкинское"</v>
      </c>
      <c r="E19" s="69">
        <f ca="1">IFERROR(__xludf.DUMMYFUNCTION("""COMPUTED_VALUE"""),8)</f>
        <v>8</v>
      </c>
      <c r="F19" s="22" t="str">
        <f ca="1">IFERROR(__xludf.DUMMYFUNCTION("""COMPUTED_VALUE"""),"Юшенова Лариса Николаевна")</f>
        <v>Юшенова Лариса Николаевна</v>
      </c>
      <c r="G19" s="20">
        <v>2</v>
      </c>
      <c r="H19" s="20">
        <v>0</v>
      </c>
      <c r="I19" s="20">
        <v>2</v>
      </c>
      <c r="J19" s="20">
        <v>2</v>
      </c>
      <c r="K19" s="20">
        <v>2</v>
      </c>
      <c r="L19" s="20">
        <v>1</v>
      </c>
      <c r="M19" s="20">
        <v>0</v>
      </c>
      <c r="N19" s="20">
        <v>1</v>
      </c>
      <c r="O19" s="20">
        <v>1</v>
      </c>
      <c r="P19" s="20">
        <v>6</v>
      </c>
      <c r="Q19" s="20">
        <v>2</v>
      </c>
      <c r="R19" s="20">
        <v>2</v>
      </c>
      <c r="S19" s="20">
        <v>0</v>
      </c>
      <c r="T19" s="20"/>
      <c r="U19" s="19">
        <f>SUM(G19:S19)</f>
        <v>21</v>
      </c>
      <c r="V19" s="32"/>
      <c r="W19" s="23">
        <f>U19</f>
        <v>21</v>
      </c>
      <c r="X19" s="19">
        <v>13</v>
      </c>
      <c r="Y19" s="19"/>
    </row>
    <row r="20" spans="1:25" ht="12.75">
      <c r="A20" s="20">
        <v>14</v>
      </c>
      <c r="B20" s="24" t="str">
        <f ca="1">IFERROR(__xludf.DUMMYFUNCTION("""COMPUTED_VALUE"""),"Иванов Евгений Владимирович")</f>
        <v>Иванов Евгений Владимирович</v>
      </c>
      <c r="C20" s="73">
        <v>805</v>
      </c>
      <c r="D20" s="82" t="s">
        <v>92</v>
      </c>
      <c r="E20" s="68">
        <f ca="1">IFERROR(__xludf.DUMMYFUNCTION("""COMPUTED_VALUE"""),8)</f>
        <v>8</v>
      </c>
      <c r="F20" s="24" t="str">
        <f ca="1">IFERROR(__xludf.DUMMYFUNCTION("""COMPUTED_VALUE"""),"Моисеева Татьяна Владимировна")</f>
        <v>Моисеева Татьяна Владимировна</v>
      </c>
      <c r="G20" s="19">
        <v>1</v>
      </c>
      <c r="H20" s="19">
        <v>0</v>
      </c>
      <c r="I20" s="19">
        <v>2</v>
      </c>
      <c r="J20" s="19">
        <v>2</v>
      </c>
      <c r="K20" s="19">
        <v>4</v>
      </c>
      <c r="L20" s="19">
        <v>1</v>
      </c>
      <c r="M20" s="19">
        <v>1</v>
      </c>
      <c r="N20" s="19">
        <v>3</v>
      </c>
      <c r="O20" s="19">
        <v>0</v>
      </c>
      <c r="P20" s="19">
        <v>2</v>
      </c>
      <c r="Q20" s="19">
        <v>2</v>
      </c>
      <c r="R20" s="19">
        <v>0</v>
      </c>
      <c r="S20" s="19">
        <v>0</v>
      </c>
      <c r="T20" s="19"/>
      <c r="U20" s="19">
        <f>SUM(G20:S20)</f>
        <v>18</v>
      </c>
      <c r="V20" s="32"/>
      <c r="W20" s="23">
        <f>U20</f>
        <v>18</v>
      </c>
      <c r="X20" s="20">
        <v>14</v>
      </c>
      <c r="Y20" s="19"/>
    </row>
    <row r="21" spans="1:25" ht="12.75">
      <c r="A21" s="19">
        <v>15</v>
      </c>
      <c r="B21" s="24" t="str">
        <f ca="1">IFERROR(__xludf.DUMMYFUNCTION("""COMPUTED_VALUE"""),"Смирнова Анастасия Николаевна")</f>
        <v>Смирнова Анастасия Николаевна</v>
      </c>
      <c r="C21" s="73">
        <v>814</v>
      </c>
      <c r="D21" s="24" t="str">
        <f ca="1">IFERROR(__xludf.DUMMYFUNCTION("""COMPUTED_VALUE"""),"МОУ ""СОШ №1""")</f>
        <v>МОУ "СОШ №1"</v>
      </c>
      <c r="E21" s="68">
        <f ca="1">IFERROR(__xludf.DUMMYFUNCTION("""COMPUTED_VALUE"""),8)</f>
        <v>8</v>
      </c>
      <c r="F21" s="24" t="str">
        <f ca="1">IFERROR(__xludf.DUMMYFUNCTION("""COMPUTED_VALUE"""),"Борцова Оксана Юрьевна")</f>
        <v>Борцова Оксана Юрьевна</v>
      </c>
      <c r="G21" s="20">
        <v>2</v>
      </c>
      <c r="H21" s="20">
        <v>1</v>
      </c>
      <c r="I21" s="20">
        <v>0</v>
      </c>
      <c r="J21" s="20">
        <v>2</v>
      </c>
      <c r="K21" s="20">
        <v>4</v>
      </c>
      <c r="L21" s="20">
        <v>4</v>
      </c>
      <c r="M21" s="20">
        <v>2</v>
      </c>
      <c r="N21" s="20">
        <v>0</v>
      </c>
      <c r="O21" s="20">
        <v>0</v>
      </c>
      <c r="P21" s="20">
        <v>0</v>
      </c>
      <c r="Q21" s="20">
        <v>1</v>
      </c>
      <c r="R21" s="20">
        <v>0</v>
      </c>
      <c r="S21" s="20">
        <v>0</v>
      </c>
      <c r="T21" s="20"/>
      <c r="U21" s="19">
        <f>SUM(G21:S21)</f>
        <v>16</v>
      </c>
      <c r="V21" s="24"/>
      <c r="W21" s="23">
        <f>U21</f>
        <v>16</v>
      </c>
      <c r="X21" s="20">
        <v>15</v>
      </c>
      <c r="Y21" s="19"/>
    </row>
    <row r="22" spans="1:25" ht="12.75">
      <c r="A22" s="20">
        <v>16</v>
      </c>
      <c r="B22" s="25" t="str">
        <f ca="1">IFERROR(__xludf.DUMMYFUNCTION("IMPORTRANGE(""https://docs.google.com/spreadsheets/d/16CWr8ky6L0i1S4UOLMYHizeHS6aZnIDEnQPyRJyTpcI/edit#gid=0"", ""СОШ с. Зеленый Дол!B18:O22"")"),"Джумаева Эльвина Магеррамовна")</f>
        <v>Джумаева Эльвина Магеррамовна</v>
      </c>
      <c r="C22" s="72">
        <v>809</v>
      </c>
      <c r="D22" s="22" t="str">
        <f ca="1">IFERROR(__xludf.DUMMYFUNCTION("""COMPUTED_VALUE"""),"МОУ ""СОШ с. Зеленый Дол""")</f>
        <v>МОУ "СОШ с. Зеленый Дол"</v>
      </c>
      <c r="E22" s="69">
        <f ca="1">IFERROR(__xludf.DUMMYFUNCTION("""COMPUTED_VALUE"""),8)</f>
        <v>8</v>
      </c>
      <c r="F22" s="22" t="str">
        <f ca="1">IFERROR(__xludf.DUMMYFUNCTION("""COMPUTED_VALUE"""),"Абдулина Нуржамал Кайруевна")</f>
        <v>Абдулина Нуржамал Кайруевна</v>
      </c>
      <c r="G22" s="19">
        <v>2</v>
      </c>
      <c r="H22" s="19">
        <v>0</v>
      </c>
      <c r="I22" s="19">
        <v>0</v>
      </c>
      <c r="J22" s="19">
        <v>0</v>
      </c>
      <c r="K22" s="19">
        <v>2</v>
      </c>
      <c r="L22" s="19">
        <v>2</v>
      </c>
      <c r="M22" s="19">
        <v>0</v>
      </c>
      <c r="N22" s="19">
        <v>2</v>
      </c>
      <c r="O22" s="19">
        <v>4</v>
      </c>
      <c r="P22" s="19">
        <v>0</v>
      </c>
      <c r="Q22" s="19">
        <v>0</v>
      </c>
      <c r="R22" s="19">
        <v>0</v>
      </c>
      <c r="S22" s="19">
        <v>0</v>
      </c>
      <c r="T22" s="19"/>
      <c r="U22" s="19">
        <f>SUM(G22:S22)</f>
        <v>12</v>
      </c>
      <c r="V22" s="32"/>
      <c r="W22" s="23">
        <f>U22</f>
        <v>12</v>
      </c>
      <c r="X22" s="19">
        <v>16</v>
      </c>
      <c r="Y22" s="19"/>
    </row>
    <row r="23" spans="1:25" ht="12.75">
      <c r="A23" s="20">
        <v>17</v>
      </c>
      <c r="B23" s="25" t="str">
        <f ca="1">IFERROR(__xludf.DUMMYFUNCTION("IMPORTRANGE(""https://docs.google.com/spreadsheets/d/16CWr8ky6L0i1S4UOLMYHizeHS6aZnIDEnQPyRJyTpcI/edit#gid=0"", ""СОШ с. Березовка!B18:O22"")"),"Бадриев Данил Маратович")</f>
        <v>Бадриев Данил Маратович</v>
      </c>
      <c r="C23" s="72"/>
      <c r="D23" s="22" t="str">
        <f ca="1">IFERROR(__xludf.DUMMYFUNCTION("""COMPUTED_VALUE"""),"МОУ ""СОШ с. Березовка""")</f>
        <v>МОУ "СОШ с. Березовка"</v>
      </c>
      <c r="E23" s="69">
        <f ca="1">IFERROR(__xludf.DUMMYFUNCTION("""COMPUTED_VALUE"""),8)</f>
        <v>8</v>
      </c>
      <c r="F23" s="22" t="str">
        <f ca="1">IFERROR(__xludf.DUMMYFUNCTION("""COMPUTED_VALUE"""),"Турсумбек Нагима Айгалиевна ")</f>
        <v xml:space="preserve">Турсумбек Нагима Айгалиевна 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32"/>
      <c r="W23" s="23"/>
      <c r="X23" s="20"/>
      <c r="Y23" s="19"/>
    </row>
    <row r="24" spans="1:25" ht="12.75">
      <c r="A24" s="20">
        <v>18</v>
      </c>
      <c r="B24" s="22" t="str">
        <f ca="1">IFERROR(__xludf.DUMMYFUNCTION("""COMPUTED_VALUE"""),"Денисов Семен Константинович")</f>
        <v>Денисов Семен Константинович</v>
      </c>
      <c r="C24" s="72"/>
      <c r="D24" s="22" t="str">
        <f ca="1">IFERROR(__xludf.DUMMYFUNCTION("""COMPUTED_VALUE"""),"МОУ ""СОШ с. Березовка""")</f>
        <v>МОУ "СОШ с. Березовка"</v>
      </c>
      <c r="E24" s="69">
        <f ca="1">IFERROR(__xludf.DUMMYFUNCTION("""COMPUTED_VALUE"""),8)</f>
        <v>8</v>
      </c>
      <c r="F24" s="22" t="str">
        <f ca="1">IFERROR(__xludf.DUMMYFUNCTION("""COMPUTED_VALUE"""),"Турсумбек Нагима Айгалиевна ")</f>
        <v xml:space="preserve">Турсумбек Нагима Айгалиевна 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9"/>
      <c r="V24" s="24"/>
      <c r="W24" s="23"/>
      <c r="X24" s="20"/>
      <c r="Y24" s="19"/>
    </row>
    <row r="25" spans="1:25" ht="12.75">
      <c r="A25" s="19">
        <v>19</v>
      </c>
      <c r="B25" s="22" t="str">
        <f ca="1">IFERROR(__xludf.DUMMYFUNCTION("""COMPUTED_VALUE"""),"Долина Ксения Алексеевна")</f>
        <v>Долина Ксения Алексеевна</v>
      </c>
      <c r="C25" s="72"/>
      <c r="D25" s="22" t="str">
        <f ca="1">IFERROR(__xludf.DUMMYFUNCTION("""COMPUTED_VALUE"""),"МОУ ""СОШ №4""")</f>
        <v>МОУ "СОШ №4"</v>
      </c>
      <c r="E25" s="69">
        <f ca="1">IFERROR(__xludf.DUMMYFUNCTION("""COMPUTED_VALUE"""),8)</f>
        <v>8</v>
      </c>
      <c r="F25" s="22" t="str">
        <f ca="1">IFERROR(__xludf.DUMMYFUNCTION("""COMPUTED_VALUE"""),"Шевченко Татьяна Петровна")</f>
        <v>Шевченко Татьяна Петровна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32"/>
      <c r="W25" s="23"/>
      <c r="X25" s="19"/>
      <c r="Y25" s="19"/>
    </row>
    <row r="26" spans="1:25" ht="12.75">
      <c r="A26" s="20">
        <v>20</v>
      </c>
      <c r="B26" s="22" t="str">
        <f ca="1">IFERROR(__xludf.DUMMYFUNCTION("""COMPUTED_VALUE"""),"Ильина Карина Станиславовна")</f>
        <v>Ильина Карина Станиславовна</v>
      </c>
      <c r="C26" s="72"/>
      <c r="D26" s="22" t="str">
        <f ca="1">IFERROR(__xludf.DUMMYFUNCTION("""COMPUTED_VALUE"""),"МОУ ""ООШ с. Ленинское""")</f>
        <v>МОУ "ООШ с. Ленинское"</v>
      </c>
      <c r="E26" s="69">
        <f ca="1">IFERROR(__xludf.DUMMYFUNCTION("""COMPUTED_VALUE"""),8)</f>
        <v>8</v>
      </c>
      <c r="F26" s="22" t="str">
        <f ca="1">IFERROR(__xludf.DUMMYFUNCTION("""COMPUTED_VALUE"""),"Савиных Людмила Васильевна")</f>
        <v>Савиных Людмила Васильевна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32"/>
      <c r="W26" s="23"/>
      <c r="X26" s="20"/>
      <c r="Y26" s="19"/>
    </row>
    <row r="27" spans="1:25" ht="12.75">
      <c r="A27" s="20">
        <v>21</v>
      </c>
      <c r="B27" s="24" t="str">
        <f ca="1">IFERROR(__xludf.DUMMYFUNCTION("""COMPUTED_VALUE"""),"Киселева Екатерина Дмитриевна")</f>
        <v>Киселева Екатерина Дмитриевна</v>
      </c>
      <c r="C27" s="73"/>
      <c r="D27" s="82" t="s">
        <v>88</v>
      </c>
      <c r="E27" s="68">
        <f ca="1">IFERROR(__xludf.DUMMYFUNCTION("""COMPUTED_VALUE"""),8)</f>
        <v>8</v>
      </c>
      <c r="F27" s="24" t="str">
        <f ca="1">IFERROR(__xludf.DUMMYFUNCTION("""COMPUTED_VALUE"""),"Новинкина Светлана Габдулловна")</f>
        <v>Новинкина Светлана Габдулловна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32"/>
      <c r="W27" s="23"/>
      <c r="X27" s="20"/>
      <c r="Y27" s="19"/>
    </row>
    <row r="28" spans="1:25" ht="12.75">
      <c r="A28" s="19">
        <v>22</v>
      </c>
      <c r="B28" s="22" t="str">
        <f ca="1">IFERROR(__xludf.DUMMYFUNCTION("""COMPUTED_VALUE"""),"Некрасова Александра Павловна")</f>
        <v>Некрасова Александра Павловна</v>
      </c>
      <c r="C28" s="72"/>
      <c r="D28" s="22" t="str">
        <f ca="1">IFERROR(__xludf.DUMMYFUNCTION("""COMPUTED_VALUE"""),"МАОУ ""ООШ с. Степное""")</f>
        <v>МАОУ "ООШ с. Степное"</v>
      </c>
      <c r="E28" s="69">
        <f ca="1">IFERROR(__xludf.DUMMYFUNCTION("""COMPUTED_VALUE"""),8)</f>
        <v>8</v>
      </c>
      <c r="F28" s="22" t="str">
        <f ca="1">IFERROR(__xludf.DUMMYFUNCTION("""COMPUTED_VALUE"""),"Макарова Зухра Амирджановна")</f>
        <v>Макарова Зухра Амирджановна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3"/>
      <c r="X28" s="19"/>
      <c r="Y28" s="19"/>
    </row>
    <row r="29" spans="1:25" ht="12.75">
      <c r="A29" s="20">
        <v>23</v>
      </c>
      <c r="B29" s="22" t="str">
        <f ca="1">IFERROR(__xludf.DUMMYFUNCTION("""COMPUTED_VALUE"""),"Пяк Валерия Дмитриевна")</f>
        <v>Пяк Валерия Дмитриевна</v>
      </c>
      <c r="C29" s="72"/>
      <c r="D29" s="22" t="str">
        <f ca="1">IFERROR(__xludf.DUMMYFUNCTION("""COMPUTED_VALUE"""),"МОУ ""СОШ с. Березовка""")</f>
        <v>МОУ "СОШ с. Березовка"</v>
      </c>
      <c r="E29" s="69">
        <f ca="1">IFERROR(__xludf.DUMMYFUNCTION("""COMPUTED_VALUE"""),8)</f>
        <v>8</v>
      </c>
      <c r="F29" s="22" t="str">
        <f ca="1">IFERROR(__xludf.DUMMYFUNCTION("""COMPUTED_VALUE"""),"Турсумбек Нагима Айгалиевна ")</f>
        <v xml:space="preserve">Турсумбек Нагима Айгалиевна 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32"/>
      <c r="W29" s="23"/>
      <c r="X29" s="20"/>
      <c r="Y29" s="19"/>
    </row>
    <row r="30" spans="1:25" ht="12.75">
      <c r="A30" s="20">
        <v>24</v>
      </c>
      <c r="B30" s="25" t="str">
        <f ca="1">IFERROR(__xludf.DUMMYFUNCTION("IMPORTRANGE(""https://docs.google.com/spreadsheets/d/16CWr8ky6L0i1S4UOLMYHizeHS6aZnIDEnQPyRJyTpcI/edit#gid=0"", ""СОШ №4!B38:O39"")"),"Савельева Арина Александровна")</f>
        <v>Савельева Арина Александровна</v>
      </c>
      <c r="C30" s="72"/>
      <c r="D30" s="82" t="s">
        <v>93</v>
      </c>
      <c r="E30" s="69">
        <f ca="1">IFERROR(__xludf.DUMMYFUNCTION("""COMPUTED_VALUE"""),8)</f>
        <v>8</v>
      </c>
      <c r="F30" s="22" t="str">
        <f ca="1">IFERROR(__xludf.DUMMYFUNCTION("""COMPUTED_VALUE"""),"Шевченко Татьяна Петровна")</f>
        <v>Шевченко Татьяна Петровна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2"/>
      <c r="W30" s="23"/>
      <c r="X30" s="20"/>
      <c r="Y30" s="19"/>
    </row>
    <row r="31" spans="1:25" ht="15.75" customHeight="1">
      <c r="B31" s="47" t="s">
        <v>87</v>
      </c>
    </row>
    <row r="32" spans="1:25" ht="15.75" customHeight="1">
      <c r="B32" s="47" t="s">
        <v>79</v>
      </c>
    </row>
    <row r="33" spans="2:2" ht="15.75" customHeight="1">
      <c r="B33" s="47" t="s">
        <v>80</v>
      </c>
    </row>
    <row r="34" spans="2:2" ht="15.75" customHeight="1">
      <c r="B34" s="47" t="s">
        <v>83</v>
      </c>
    </row>
    <row r="35" spans="2:2" ht="15.75" customHeight="1">
      <c r="B35" s="47" t="s">
        <v>81</v>
      </c>
    </row>
    <row r="36" spans="2:2" ht="15.75" customHeight="1">
      <c r="B36" s="47" t="s">
        <v>84</v>
      </c>
    </row>
    <row r="37" spans="2:2" ht="15.75" customHeight="1">
      <c r="B37" s="47" t="s">
        <v>82</v>
      </c>
    </row>
    <row r="38" spans="2:2" ht="15.75" customHeight="1">
      <c r="B38" s="47" t="s">
        <v>85</v>
      </c>
    </row>
    <row r="39" spans="2:2" ht="15.75" customHeight="1">
      <c r="B39" s="48" t="s">
        <v>86</v>
      </c>
    </row>
  </sheetData>
  <sortState ref="B7:W22">
    <sortCondition descending="1" ref="W7:W22"/>
  </sortState>
  <mergeCells count="10">
    <mergeCell ref="A2:Z2"/>
    <mergeCell ref="A3:Z3"/>
    <mergeCell ref="A4:Z4"/>
    <mergeCell ref="A5:A6"/>
    <mergeCell ref="B5:B6"/>
    <mergeCell ref="C5:C6"/>
    <mergeCell ref="D5:D6"/>
    <mergeCell ref="E5:E6"/>
    <mergeCell ref="F5:F6"/>
    <mergeCell ref="G5:S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29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29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29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29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29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29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29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29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29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29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29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29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29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29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29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29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29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29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29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29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29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29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29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29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29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29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29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29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29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29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29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29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29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29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29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30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30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30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30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30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30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30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30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30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30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30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30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30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30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30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30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30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30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30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30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30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30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30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30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30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30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30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30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30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30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30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30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30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30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30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31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31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31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31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31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31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31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31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31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31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31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31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31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31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31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31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31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31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31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31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31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31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31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31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31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31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31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31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31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31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31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31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31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31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31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32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32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32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32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32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32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32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32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32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32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32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32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32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32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32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32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32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32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32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32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32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32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32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32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32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32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32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32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32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32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32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32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32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32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32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33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33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33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33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33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33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33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33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33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33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33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33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33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33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33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33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33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33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33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33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33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33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33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33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33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33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33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33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33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33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33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33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33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33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33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34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34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34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34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34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34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34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34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34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34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34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34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34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34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34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34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34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34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34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34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34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34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34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34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34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34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34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34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34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34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34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34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34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34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34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35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35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35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35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35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35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35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35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35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35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35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35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35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35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35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35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35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35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35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35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35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35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35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35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35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35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35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35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35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35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35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35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35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35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35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36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36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36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36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36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36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36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36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36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36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36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36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36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36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36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36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36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36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36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36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36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36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36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36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36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36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36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36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36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36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36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36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36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36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36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37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37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37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37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37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37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37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37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37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37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37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37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37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37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37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37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37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37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37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37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37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37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37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37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37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37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37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37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37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37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37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37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37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37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37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38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38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38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38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38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38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38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38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38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38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38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38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38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38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38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38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38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38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38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38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38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38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38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38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38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38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38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38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38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38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38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38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38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38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38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0"/>
  <sheetViews>
    <sheetView tabSelected="1" zoomScale="80" zoomScaleNormal="80" workbookViewId="0">
      <selection activeCell="W31" sqref="W31"/>
    </sheetView>
  </sheetViews>
  <sheetFormatPr defaultColWidth="14.42578125" defaultRowHeight="15.75" customHeight="1"/>
  <cols>
    <col min="1" max="1" width="7" customWidth="1"/>
    <col min="2" max="2" width="34.42578125" customWidth="1"/>
    <col min="3" max="3" width="14.140625" customWidth="1"/>
    <col min="4" max="4" width="36.85546875" customWidth="1"/>
    <col min="5" max="5" width="9.85546875" customWidth="1"/>
    <col min="6" max="6" width="34.140625" customWidth="1"/>
    <col min="7" max="16" width="8.7109375" customWidth="1"/>
    <col min="17" max="19" width="10.85546875" customWidth="1"/>
    <col min="20" max="20" width="10.85546875" hidden="1" customWidth="1"/>
    <col min="23" max="23" width="10.28515625" style="14" customWidth="1"/>
    <col min="24" max="24" width="12.140625" customWidth="1"/>
    <col min="25" max="25" width="16.28515625" customWidth="1"/>
  </cols>
  <sheetData>
    <row r="1" spans="1:26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.75" customHeight="1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.75" customHeight="1">
      <c r="A4" s="50" t="s">
        <v>50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2.75" customHeight="1">
      <c r="A5" s="53" t="s">
        <v>0</v>
      </c>
      <c r="B5" s="53" t="s">
        <v>1</v>
      </c>
      <c r="C5" s="55" t="s">
        <v>2</v>
      </c>
      <c r="D5" s="52" t="s">
        <v>3</v>
      </c>
      <c r="E5" s="66" t="s">
        <v>4</v>
      </c>
      <c r="F5" s="55" t="s">
        <v>5</v>
      </c>
      <c r="G5" s="52" t="s">
        <v>6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41"/>
      <c r="U5" s="27" t="s">
        <v>11</v>
      </c>
      <c r="V5" s="27" t="s">
        <v>7</v>
      </c>
      <c r="W5" s="27" t="s">
        <v>8</v>
      </c>
      <c r="X5" s="34" t="s">
        <v>9</v>
      </c>
      <c r="Y5" s="44" t="s">
        <v>10</v>
      </c>
    </row>
    <row r="6" spans="1:26" ht="12.75">
      <c r="A6" s="54"/>
      <c r="B6" s="54"/>
      <c r="C6" s="56"/>
      <c r="D6" s="52"/>
      <c r="E6" s="67"/>
      <c r="F6" s="56"/>
      <c r="G6" s="39" t="s">
        <v>53</v>
      </c>
      <c r="H6" s="39" t="s">
        <v>69</v>
      </c>
      <c r="I6" s="39" t="s">
        <v>70</v>
      </c>
      <c r="J6" s="39" t="s">
        <v>71</v>
      </c>
      <c r="K6" s="39" t="s">
        <v>72</v>
      </c>
      <c r="L6" s="39" t="s">
        <v>73</v>
      </c>
      <c r="M6" s="39" t="s">
        <v>59</v>
      </c>
      <c r="N6" s="39" t="s">
        <v>74</v>
      </c>
      <c r="O6" s="39" t="s">
        <v>75</v>
      </c>
      <c r="P6" s="39" t="s">
        <v>62</v>
      </c>
      <c r="Q6" s="40" t="s">
        <v>76</v>
      </c>
      <c r="R6" s="40" t="s">
        <v>64</v>
      </c>
      <c r="S6" s="40" t="s">
        <v>77</v>
      </c>
      <c r="T6" s="45"/>
      <c r="U6" s="31" t="s">
        <v>78</v>
      </c>
      <c r="V6" s="31"/>
      <c r="W6" s="31"/>
      <c r="X6" s="35"/>
      <c r="Y6" s="29"/>
    </row>
    <row r="7" spans="1:26" ht="12.75">
      <c r="A7" s="19">
        <v>1</v>
      </c>
      <c r="B7" s="18" t="str">
        <f ca="1">IFERROR(__xludf.DUMMYFUNCTION("IMPORTRANGE(""https://docs.google.com/spreadsheets/d/16CWr8ky6L0i1S4UOLMYHizeHS6aZnIDEnQPyRJyTpcI/edit#gid=0"", ""Патриот!B23:O27"")"),"Чурчук Иван Валерьевич")</f>
        <v>Чурчук Иван Валерьевич</v>
      </c>
      <c r="C7" s="64">
        <v>909</v>
      </c>
      <c r="D7" s="76" t="s">
        <v>88</v>
      </c>
      <c r="E7" s="68">
        <f ca="1">IFERROR(__xludf.DUMMYFUNCTION("""COMPUTED_VALUE"""),9)</f>
        <v>9</v>
      </c>
      <c r="F7" s="15" t="str">
        <f ca="1">IFERROR(__xludf.DUMMYFUNCTION("""COMPUTED_VALUE"""),"Новинкина Светлана Габдулловна")</f>
        <v>Новинкина Светлана Габдулловна</v>
      </c>
      <c r="G7" s="20">
        <v>1</v>
      </c>
      <c r="H7" s="20">
        <v>1</v>
      </c>
      <c r="I7" s="20">
        <v>0</v>
      </c>
      <c r="J7" s="20">
        <v>4</v>
      </c>
      <c r="K7" s="20">
        <v>4</v>
      </c>
      <c r="L7" s="20">
        <v>2</v>
      </c>
      <c r="M7" s="20">
        <v>4</v>
      </c>
      <c r="N7" s="20">
        <v>2</v>
      </c>
      <c r="O7" s="20">
        <v>5</v>
      </c>
      <c r="P7" s="20">
        <v>6</v>
      </c>
      <c r="Q7" s="20">
        <v>1</v>
      </c>
      <c r="R7" s="20">
        <v>0</v>
      </c>
      <c r="S7" s="20">
        <v>6</v>
      </c>
      <c r="T7" s="20"/>
      <c r="U7" s="19">
        <f>SUM(G7:S7)</f>
        <v>36</v>
      </c>
      <c r="V7" s="17"/>
      <c r="W7" s="23">
        <f>U7</f>
        <v>36</v>
      </c>
      <c r="X7" s="19">
        <v>1</v>
      </c>
      <c r="Y7" s="19"/>
    </row>
    <row r="8" spans="1:26" ht="12.75">
      <c r="A8" s="20">
        <v>2</v>
      </c>
      <c r="B8" s="15" t="str">
        <f ca="1">IFERROR(__xludf.DUMMYFUNCTION("""COMPUTED_VALUE"""),"Мазурова Алина Витальевна")</f>
        <v>Мазурова Алина Витальевна</v>
      </c>
      <c r="C8" s="64">
        <v>904</v>
      </c>
      <c r="D8" s="76" t="s">
        <v>88</v>
      </c>
      <c r="E8" s="68">
        <f ca="1">IFERROR(__xludf.DUMMYFUNCTION("""COMPUTED_VALUE"""),9)</f>
        <v>9</v>
      </c>
      <c r="F8" s="15" t="str">
        <f ca="1">IFERROR(__xludf.DUMMYFUNCTION("""COMPUTED_VALUE"""),"Новинкина Светлана Габдулловна")</f>
        <v>Новинкина Светлана Габдулловна</v>
      </c>
      <c r="G8" s="20">
        <v>4</v>
      </c>
      <c r="H8" s="20">
        <v>2</v>
      </c>
      <c r="I8" s="20">
        <v>2</v>
      </c>
      <c r="J8" s="20">
        <v>0</v>
      </c>
      <c r="K8" s="20">
        <v>4</v>
      </c>
      <c r="L8" s="20">
        <v>1</v>
      </c>
      <c r="M8" s="20">
        <v>0</v>
      </c>
      <c r="N8" s="20">
        <v>6</v>
      </c>
      <c r="O8" s="20">
        <v>2</v>
      </c>
      <c r="P8" s="20">
        <v>4</v>
      </c>
      <c r="Q8" s="20">
        <v>1</v>
      </c>
      <c r="R8" s="20">
        <v>6</v>
      </c>
      <c r="S8" s="20">
        <v>0</v>
      </c>
      <c r="T8" s="20"/>
      <c r="U8" s="19">
        <f>SUM(G8:S8)</f>
        <v>32</v>
      </c>
      <c r="V8" s="17"/>
      <c r="W8" s="23">
        <f>U8</f>
        <v>32</v>
      </c>
      <c r="X8" s="20">
        <v>2</v>
      </c>
      <c r="Y8" s="19"/>
    </row>
    <row r="9" spans="1:26" ht="12.75">
      <c r="A9" s="20">
        <v>3</v>
      </c>
      <c r="B9" s="18" t="str">
        <f ca="1">IFERROR(__xludf.DUMMYFUNCTION("IMPORTRANGE(""https://docs.google.com/spreadsheets/d/16CWr8ky6L0i1S4UOLMYHizeHS6aZnIDEnQPyRJyTpcI/edit#gid=0"", ""СОШ с. Зеленый Дол!B23:O27"")"),"Соколова Юлия Николаевна")</f>
        <v>Соколова Юлия Николаевна</v>
      </c>
      <c r="C9" s="65">
        <v>912</v>
      </c>
      <c r="D9" s="16" t="str">
        <f ca="1">IFERROR(__xludf.DUMMYFUNCTION("""COMPUTED_VALUE"""),"МОУ ""СОШ с. Зеленый Дол""")</f>
        <v>МОУ "СОШ с. Зеленый Дол"</v>
      </c>
      <c r="E9" s="69">
        <f ca="1">IFERROR(__xludf.DUMMYFUNCTION("""COMPUTED_VALUE"""),9)</f>
        <v>9</v>
      </c>
      <c r="F9" s="16" t="str">
        <f ca="1">IFERROR(__xludf.DUMMYFUNCTION("""COMPUTED_VALUE"""),"Абдулина Нуржамал Кайруевна")</f>
        <v>Абдулина Нуржамал Кайруевна</v>
      </c>
      <c r="G9" s="19">
        <v>1</v>
      </c>
      <c r="H9" s="19">
        <v>2</v>
      </c>
      <c r="I9" s="19">
        <v>0</v>
      </c>
      <c r="J9" s="19">
        <v>0</v>
      </c>
      <c r="K9" s="19">
        <v>2</v>
      </c>
      <c r="L9" s="19">
        <v>2</v>
      </c>
      <c r="M9" s="19">
        <v>1</v>
      </c>
      <c r="N9" s="19">
        <v>3</v>
      </c>
      <c r="O9" s="19">
        <v>5</v>
      </c>
      <c r="P9" s="19">
        <v>4</v>
      </c>
      <c r="Q9" s="19">
        <v>2</v>
      </c>
      <c r="R9" s="19">
        <v>4</v>
      </c>
      <c r="S9" s="19">
        <v>4</v>
      </c>
      <c r="T9" s="19"/>
      <c r="U9" s="19">
        <f>SUM(G9:S9)</f>
        <v>30</v>
      </c>
      <c r="V9" s="17"/>
      <c r="W9" s="23">
        <f>U9</f>
        <v>30</v>
      </c>
      <c r="X9" s="20">
        <v>3</v>
      </c>
      <c r="Y9" s="19"/>
    </row>
    <row r="10" spans="1:26" ht="12.75">
      <c r="A10" s="20">
        <v>4</v>
      </c>
      <c r="B10" s="15" t="str">
        <f ca="1">IFERROR(__xludf.DUMMYFUNCTION("""COMPUTED_VALUE"""),"Бондаренко Вероника Александровна")</f>
        <v>Бондаренко Вероника Александровна</v>
      </c>
      <c r="C10" s="64">
        <v>905</v>
      </c>
      <c r="D10" s="76" t="s">
        <v>88</v>
      </c>
      <c r="E10" s="68">
        <f ca="1">IFERROR(__xludf.DUMMYFUNCTION("""COMPUTED_VALUE"""),9)</f>
        <v>9</v>
      </c>
      <c r="F10" s="15" t="str">
        <f ca="1">IFERROR(__xludf.DUMMYFUNCTION("""COMPUTED_VALUE"""),"Новинкина Светлана Габдулловна")</f>
        <v>Новинкина Светлана Габдулловна</v>
      </c>
      <c r="G10" s="20">
        <v>3</v>
      </c>
      <c r="H10" s="20">
        <v>2</v>
      </c>
      <c r="I10" s="20">
        <v>1</v>
      </c>
      <c r="J10" s="20">
        <v>0</v>
      </c>
      <c r="K10" s="20">
        <v>2</v>
      </c>
      <c r="L10" s="20">
        <v>1</v>
      </c>
      <c r="M10" s="20">
        <v>0</v>
      </c>
      <c r="N10" s="20">
        <v>2</v>
      </c>
      <c r="O10" s="20">
        <v>0</v>
      </c>
      <c r="P10" s="20">
        <v>0</v>
      </c>
      <c r="Q10" s="20">
        <v>2</v>
      </c>
      <c r="R10" s="20">
        <v>6</v>
      </c>
      <c r="S10" s="20">
        <v>6</v>
      </c>
      <c r="T10" s="20"/>
      <c r="U10" s="19">
        <f>SUM(G10:S10)</f>
        <v>25</v>
      </c>
      <c r="V10" s="15"/>
      <c r="W10" s="23">
        <f>U10</f>
        <v>25</v>
      </c>
      <c r="X10" s="19">
        <v>4</v>
      </c>
      <c r="Y10" s="19"/>
    </row>
    <row r="11" spans="1:26" ht="12.75">
      <c r="A11" s="19">
        <v>5</v>
      </c>
      <c r="B11" s="16" t="str">
        <f ca="1">IFERROR(__xludf.DUMMYFUNCTION("""COMPUTED_VALUE"""),"Ибрагимова Гюзаль Линатовна")</f>
        <v>Ибрагимова Гюзаль Линатовна</v>
      </c>
      <c r="C11" s="65">
        <v>910</v>
      </c>
      <c r="D11" s="16" t="str">
        <f ca="1">IFERROR(__xludf.DUMMYFUNCTION("""COMPUTED_VALUE"""),"МОУ ""СОШ п. Новопушкинское""")</f>
        <v>МОУ "СОШ п. Новопушкинское"</v>
      </c>
      <c r="E11" s="69">
        <f ca="1">IFERROR(__xludf.DUMMYFUNCTION("""COMPUTED_VALUE"""),9)</f>
        <v>9</v>
      </c>
      <c r="F11" s="16" t="str">
        <f ca="1">IFERROR(__xludf.DUMMYFUNCTION("""COMPUTED_VALUE"""),"Юшенова Лариса Николаевна")</f>
        <v>Юшенова Лариса Николаевна</v>
      </c>
      <c r="G11" s="19">
        <v>1</v>
      </c>
      <c r="H11" s="19">
        <v>0</v>
      </c>
      <c r="I11" s="19">
        <v>1</v>
      </c>
      <c r="J11" s="19">
        <v>4</v>
      </c>
      <c r="K11" s="19">
        <v>2</v>
      </c>
      <c r="L11" s="19">
        <v>2</v>
      </c>
      <c r="M11" s="19">
        <v>1</v>
      </c>
      <c r="N11" s="19">
        <v>2</v>
      </c>
      <c r="O11" s="19">
        <v>3</v>
      </c>
      <c r="P11" s="19">
        <v>3</v>
      </c>
      <c r="Q11" s="19">
        <v>1</v>
      </c>
      <c r="R11" s="19">
        <v>2</v>
      </c>
      <c r="S11" s="19">
        <v>3</v>
      </c>
      <c r="T11" s="19"/>
      <c r="U11" s="19">
        <f>SUM(G11:S11)</f>
        <v>25</v>
      </c>
      <c r="V11" s="17"/>
      <c r="W11" s="23">
        <f>U11</f>
        <v>25</v>
      </c>
      <c r="X11" s="20">
        <v>5</v>
      </c>
      <c r="Y11" s="19"/>
    </row>
    <row r="12" spans="1:26" ht="12.75">
      <c r="A12" s="20">
        <v>6</v>
      </c>
      <c r="B12" s="15" t="str">
        <f ca="1">IFERROR(__xludf.DUMMYFUNCTION("IMPORTRANGE(""https://docs.google.com/spreadsheets/d/16CWr8ky6L0i1S4UOLMYHizeHS6aZnIDEnQPyRJyTpcI/edit#gid=0"", ""Обр.центр!B23:O27"")"),"Сальникова Ульяна Сергеевна")</f>
        <v>Сальникова Ульяна Сергеевна</v>
      </c>
      <c r="C12" s="64">
        <v>901</v>
      </c>
      <c r="D12" s="76" t="s">
        <v>89</v>
      </c>
      <c r="E12" s="68">
        <f ca="1">IFERROR(__xludf.DUMMYFUNCTION("""COMPUTED_VALUE"""),9)</f>
        <v>9</v>
      </c>
      <c r="F12" s="15" t="str">
        <f ca="1">IFERROR(__xludf.DUMMYFUNCTION("""COMPUTED_VALUE"""),"Газданова Валентина Владимировна")</f>
        <v>Газданова Валентина Владимировна</v>
      </c>
      <c r="G12" s="19">
        <v>1</v>
      </c>
      <c r="H12" s="19">
        <v>0</v>
      </c>
      <c r="I12" s="19">
        <v>2</v>
      </c>
      <c r="J12" s="19">
        <v>2</v>
      </c>
      <c r="K12" s="19">
        <v>4</v>
      </c>
      <c r="L12" s="19">
        <v>2</v>
      </c>
      <c r="M12" s="19">
        <v>0</v>
      </c>
      <c r="N12" s="19">
        <v>1</v>
      </c>
      <c r="O12" s="19">
        <v>2</v>
      </c>
      <c r="P12" s="19">
        <v>3</v>
      </c>
      <c r="Q12" s="19">
        <v>1</v>
      </c>
      <c r="R12" s="19">
        <v>4</v>
      </c>
      <c r="S12" s="19">
        <v>2</v>
      </c>
      <c r="T12" s="19"/>
      <c r="U12" s="19">
        <f>SUM(G12:S12)</f>
        <v>24</v>
      </c>
      <c r="V12" s="17"/>
      <c r="W12" s="23">
        <f>U12</f>
        <v>24</v>
      </c>
      <c r="X12" s="20">
        <v>6</v>
      </c>
      <c r="Y12" s="19"/>
    </row>
    <row r="13" spans="1:26" ht="12.75">
      <c r="A13" s="20">
        <v>7</v>
      </c>
      <c r="B13" s="16" t="str">
        <f ca="1">IFERROR(__xludf.DUMMYFUNCTION("""COMPUTED_VALUE"""),"Селиверстов Алексей Дмитриевич")</f>
        <v>Селиверстов Алексей Дмитриевич</v>
      </c>
      <c r="C13" s="65">
        <v>908</v>
      </c>
      <c r="D13" s="76" t="s">
        <v>88</v>
      </c>
      <c r="E13" s="69">
        <f ca="1">IFERROR(__xludf.DUMMYFUNCTION("""COMPUTED_VALUE"""),9)</f>
        <v>9</v>
      </c>
      <c r="F13" s="16" t="str">
        <f ca="1">IFERROR(__xludf.DUMMYFUNCTION("""COMPUTED_VALUE"""),"Новинкина Светлана Габдулловна")</f>
        <v>Новинкина Светлана Габдулловна</v>
      </c>
      <c r="G13" s="19">
        <v>2</v>
      </c>
      <c r="H13" s="19">
        <v>2</v>
      </c>
      <c r="I13" s="19">
        <v>0</v>
      </c>
      <c r="J13" s="19">
        <v>0</v>
      </c>
      <c r="K13" s="19">
        <v>4</v>
      </c>
      <c r="L13" s="19">
        <v>2</v>
      </c>
      <c r="M13" s="19">
        <v>0</v>
      </c>
      <c r="N13" s="19">
        <v>2</v>
      </c>
      <c r="O13" s="19">
        <v>2</v>
      </c>
      <c r="P13" s="19">
        <v>0</v>
      </c>
      <c r="Q13" s="19">
        <v>2</v>
      </c>
      <c r="R13" s="19">
        <v>6</v>
      </c>
      <c r="S13" s="19">
        <v>0</v>
      </c>
      <c r="T13" s="19"/>
      <c r="U13" s="19">
        <f>SUM(G13:S13)</f>
        <v>22</v>
      </c>
      <c r="V13" s="17"/>
      <c r="W13" s="23">
        <f>U13</f>
        <v>22</v>
      </c>
      <c r="X13" s="19">
        <v>7</v>
      </c>
      <c r="Y13" s="19"/>
    </row>
    <row r="14" spans="1:26" ht="12.75">
      <c r="A14" s="20">
        <v>8</v>
      </c>
      <c r="B14" s="15" t="str">
        <f ca="1">IFERROR(__xludf.DUMMYFUNCTION("""COMPUTED_VALUE"""),"Данилов Иван Александрович")</f>
        <v>Данилов Иван Александрович</v>
      </c>
      <c r="C14" s="64">
        <v>903</v>
      </c>
      <c r="D14" s="76" t="s">
        <v>96</v>
      </c>
      <c r="E14" s="68">
        <f ca="1">IFERROR(__xludf.DUMMYFUNCTION("""COMPUTED_VALUE"""),9)</f>
        <v>9</v>
      </c>
      <c r="F14" s="15" t="str">
        <f ca="1">IFERROR(__xludf.DUMMYFUNCTION("""COMPUTED_VALUE"""),"Камилова Ольга Александровна")</f>
        <v>Камилова Ольга Александровна</v>
      </c>
      <c r="G14" s="20">
        <v>1</v>
      </c>
      <c r="H14" s="20">
        <v>2</v>
      </c>
      <c r="I14" s="20">
        <v>2</v>
      </c>
      <c r="J14" s="20">
        <v>0</v>
      </c>
      <c r="K14" s="20">
        <v>3</v>
      </c>
      <c r="L14" s="20">
        <v>2</v>
      </c>
      <c r="M14" s="20">
        <v>2</v>
      </c>
      <c r="N14" s="20">
        <v>2</v>
      </c>
      <c r="O14" s="20">
        <v>1</v>
      </c>
      <c r="P14" s="20">
        <v>4</v>
      </c>
      <c r="Q14" s="20">
        <v>2</v>
      </c>
      <c r="R14" s="20">
        <v>0</v>
      </c>
      <c r="S14" s="20">
        <v>1</v>
      </c>
      <c r="T14" s="20"/>
      <c r="U14" s="19">
        <f>SUM(G14:S14)</f>
        <v>22</v>
      </c>
      <c r="V14" s="17"/>
      <c r="W14" s="23">
        <f>U14</f>
        <v>22</v>
      </c>
      <c r="X14" s="20">
        <v>8</v>
      </c>
      <c r="Y14" s="19"/>
    </row>
    <row r="15" spans="1:26" ht="12.75">
      <c r="A15" s="19">
        <v>9</v>
      </c>
      <c r="B15" s="16" t="str">
        <f ca="1">IFERROR(__xludf.DUMMYFUNCTION("""COMPUTED_VALUE"""),"Данилов Никита Сергеевич")</f>
        <v>Данилов Никита Сергеевич</v>
      </c>
      <c r="C15" s="65">
        <v>907</v>
      </c>
      <c r="D15" s="76" t="s">
        <v>88</v>
      </c>
      <c r="E15" s="69">
        <f ca="1">IFERROR(__xludf.DUMMYFUNCTION("""COMPUTED_VALUE"""),9)</f>
        <v>9</v>
      </c>
      <c r="F15" s="16" t="str">
        <f ca="1">IFERROR(__xludf.DUMMYFUNCTION("""COMPUTED_VALUE"""),"Новинкина Светлана Габдулловна")</f>
        <v>Новинкина Светлана Габдулловна</v>
      </c>
      <c r="G15" s="19">
        <v>0</v>
      </c>
      <c r="H15" s="19">
        <v>2</v>
      </c>
      <c r="I15" s="19">
        <v>0</v>
      </c>
      <c r="J15" s="19">
        <v>4</v>
      </c>
      <c r="K15" s="19">
        <v>1</v>
      </c>
      <c r="L15" s="19">
        <v>2</v>
      </c>
      <c r="M15" s="19">
        <v>0</v>
      </c>
      <c r="N15" s="19">
        <v>1</v>
      </c>
      <c r="O15" s="19">
        <v>0</v>
      </c>
      <c r="P15" s="19">
        <v>5</v>
      </c>
      <c r="Q15" s="19">
        <v>1</v>
      </c>
      <c r="R15" s="19">
        <v>4</v>
      </c>
      <c r="S15" s="19">
        <v>0</v>
      </c>
      <c r="T15" s="19"/>
      <c r="U15" s="19">
        <f>SUM(G15:S15)</f>
        <v>20</v>
      </c>
      <c r="V15" s="17"/>
      <c r="W15" s="23">
        <f>U15</f>
        <v>20</v>
      </c>
      <c r="X15" s="20">
        <v>9</v>
      </c>
      <c r="Y15" s="19"/>
    </row>
    <row r="16" spans="1:26" ht="12.75">
      <c r="A16" s="20">
        <v>10</v>
      </c>
      <c r="B16" s="16" t="str">
        <f ca="1">IFERROR(__xludf.DUMMYFUNCTION("""COMPUTED_VALUE"""),"Степаненко Надежда Сергеевна")</f>
        <v>Степаненко Надежда Сергеевна</v>
      </c>
      <c r="C16" s="65">
        <v>911</v>
      </c>
      <c r="D16" s="16" t="str">
        <f ca="1">IFERROR(__xludf.DUMMYFUNCTION("""COMPUTED_VALUE"""),"МОУ ""СОШ с. Зеленый Дол""")</f>
        <v>МОУ "СОШ с. Зеленый Дол"</v>
      </c>
      <c r="E16" s="69">
        <f ca="1">IFERROR(__xludf.DUMMYFUNCTION("""COMPUTED_VALUE"""),9)</f>
        <v>9</v>
      </c>
      <c r="F16" s="16" t="str">
        <f ca="1">IFERROR(__xludf.DUMMYFUNCTION("""COMPUTED_VALUE"""),"Абдулина Нуржамал Кайруевна")</f>
        <v>Абдулина Нуржамал Кайруевна</v>
      </c>
      <c r="G16" s="19">
        <v>2</v>
      </c>
      <c r="H16" s="19">
        <v>0</v>
      </c>
      <c r="I16" s="19">
        <v>0</v>
      </c>
      <c r="J16" s="19">
        <v>0</v>
      </c>
      <c r="K16" s="19">
        <v>2</v>
      </c>
      <c r="L16" s="19">
        <v>2</v>
      </c>
      <c r="M16" s="19">
        <v>2</v>
      </c>
      <c r="N16" s="19">
        <v>1</v>
      </c>
      <c r="O16" s="19">
        <v>1</v>
      </c>
      <c r="P16" s="19">
        <v>4</v>
      </c>
      <c r="Q16" s="19">
        <v>2</v>
      </c>
      <c r="R16" s="19">
        <v>2</v>
      </c>
      <c r="S16" s="19">
        <v>2</v>
      </c>
      <c r="T16" s="19"/>
      <c r="U16" s="19">
        <f>SUM(G16:S16)</f>
        <v>20</v>
      </c>
      <c r="V16" s="17"/>
      <c r="W16" s="23">
        <f>U16</f>
        <v>20</v>
      </c>
      <c r="X16" s="19">
        <v>10</v>
      </c>
      <c r="Y16" s="19"/>
    </row>
    <row r="17" spans="1:25" ht="12.75">
      <c r="A17" s="20">
        <v>11</v>
      </c>
      <c r="B17" s="15" t="str">
        <f ca="1">IFERROR(__xludf.DUMMYFUNCTION("""COMPUTED_VALUE"""),"Горелова Виктория Игоревна")</f>
        <v>Горелова Виктория Игоревна</v>
      </c>
      <c r="C17" s="64">
        <v>913</v>
      </c>
      <c r="D17" s="76" t="s">
        <v>91</v>
      </c>
      <c r="E17" s="68">
        <f ca="1">IFERROR(__xludf.DUMMYFUNCTION("""COMPUTED_VALUE"""),9)</f>
        <v>9</v>
      </c>
      <c r="F17" s="15" t="str">
        <f ca="1">IFERROR(__xludf.DUMMYFUNCTION("""COMPUTED_VALUE"""),"Мотавкина Светлана Сергеевна")</f>
        <v>Мотавкина Светлана Сергеевна</v>
      </c>
      <c r="G17" s="19">
        <v>0</v>
      </c>
      <c r="H17" s="19">
        <v>1</v>
      </c>
      <c r="I17" s="19">
        <v>0</v>
      </c>
      <c r="J17" s="19">
        <v>0</v>
      </c>
      <c r="K17" s="19">
        <v>2</v>
      </c>
      <c r="L17" s="19">
        <v>2</v>
      </c>
      <c r="M17" s="19">
        <v>0</v>
      </c>
      <c r="N17" s="19">
        <v>0</v>
      </c>
      <c r="O17" s="19">
        <v>2</v>
      </c>
      <c r="P17" s="19">
        <v>5</v>
      </c>
      <c r="Q17" s="19">
        <v>2</v>
      </c>
      <c r="R17" s="19">
        <v>0</v>
      </c>
      <c r="S17" s="19">
        <v>5</v>
      </c>
      <c r="T17" s="19"/>
      <c r="U17" s="19">
        <f>SUM(G17:S17)</f>
        <v>19</v>
      </c>
      <c r="V17" s="17"/>
      <c r="W17" s="23">
        <f>U17</f>
        <v>19</v>
      </c>
      <c r="X17" s="20">
        <v>11</v>
      </c>
      <c r="Y17" s="19"/>
    </row>
    <row r="18" spans="1:25" ht="12.75">
      <c r="A18" s="20">
        <v>12</v>
      </c>
      <c r="B18" s="18" t="str">
        <f ca="1">IFERROR(__xludf.DUMMYFUNCTION("IMPORTRANGE(""https://docs.google.com/spreadsheets/d/16CWr8ky6L0i1S4UOLMYHizeHS6aZnIDEnQPyRJyTpcI/edit#gid=0"", ""МЭЛ!B23:O27"")"),"Абраменко Дарья Константиновна")</f>
        <v>Абраменко Дарья Константиновна</v>
      </c>
      <c r="C18" s="64">
        <v>914</v>
      </c>
      <c r="D18" s="76" t="s">
        <v>91</v>
      </c>
      <c r="E18" s="68">
        <f ca="1">IFERROR(__xludf.DUMMYFUNCTION("""COMPUTED_VALUE"""),9)</f>
        <v>9</v>
      </c>
      <c r="F18" s="15" t="str">
        <f ca="1">IFERROR(__xludf.DUMMYFUNCTION("""COMPUTED_VALUE"""),"Мотавкина Светлана Сергеевна")</f>
        <v>Мотавкина Светлана Сергеевна</v>
      </c>
      <c r="G18" s="20">
        <v>0</v>
      </c>
      <c r="H18" s="20">
        <v>0</v>
      </c>
      <c r="I18" s="20">
        <v>2</v>
      </c>
      <c r="J18" s="20">
        <v>0</v>
      </c>
      <c r="K18" s="20">
        <v>4</v>
      </c>
      <c r="L18" s="20">
        <v>2</v>
      </c>
      <c r="M18" s="20">
        <v>2</v>
      </c>
      <c r="N18" s="20">
        <v>2</v>
      </c>
      <c r="O18" s="20">
        <v>1</v>
      </c>
      <c r="P18" s="20">
        <v>2</v>
      </c>
      <c r="Q18" s="20">
        <v>2</v>
      </c>
      <c r="R18" s="20">
        <v>0</v>
      </c>
      <c r="S18" s="20">
        <v>2</v>
      </c>
      <c r="T18" s="20"/>
      <c r="U18" s="19">
        <f>SUM(G18:S18)</f>
        <v>19</v>
      </c>
      <c r="V18" s="17"/>
      <c r="W18" s="23">
        <f>U18</f>
        <v>19</v>
      </c>
      <c r="X18" s="20">
        <v>12</v>
      </c>
      <c r="Y18" s="19"/>
    </row>
    <row r="19" spans="1:25" ht="12.75">
      <c r="A19" s="19">
        <v>13</v>
      </c>
      <c r="B19" s="15" t="str">
        <f ca="1">IFERROR(__xludf.DUMMYFUNCTION("""COMPUTED_VALUE"""),"Сергеев Арсений Александрович")</f>
        <v>Сергеев Арсений Александрович</v>
      </c>
      <c r="C19" s="64">
        <v>906</v>
      </c>
      <c r="D19" s="76" t="s">
        <v>88</v>
      </c>
      <c r="E19" s="68">
        <f ca="1">IFERROR(__xludf.DUMMYFUNCTION("""COMPUTED_VALUE"""),9)</f>
        <v>9</v>
      </c>
      <c r="F19" s="15" t="str">
        <f ca="1">IFERROR(__xludf.DUMMYFUNCTION("""COMPUTED_VALUE"""),"Новинкина Светлана Габдулловна")</f>
        <v>Новинкина Светлана Габдулловна</v>
      </c>
      <c r="G19" s="20">
        <v>0</v>
      </c>
      <c r="H19" s="20">
        <v>1</v>
      </c>
      <c r="I19" s="20">
        <v>0</v>
      </c>
      <c r="J19" s="20">
        <v>2</v>
      </c>
      <c r="K19" s="20">
        <v>1</v>
      </c>
      <c r="L19" s="20">
        <v>2</v>
      </c>
      <c r="M19" s="20">
        <v>0</v>
      </c>
      <c r="N19" s="20">
        <v>2</v>
      </c>
      <c r="O19" s="20">
        <v>2</v>
      </c>
      <c r="P19" s="20">
        <v>4</v>
      </c>
      <c r="Q19" s="20">
        <v>2</v>
      </c>
      <c r="R19" s="20">
        <v>0</v>
      </c>
      <c r="S19" s="20">
        <v>0</v>
      </c>
      <c r="T19" s="20"/>
      <c r="U19" s="19">
        <f>SUM(G19:S19)</f>
        <v>16</v>
      </c>
      <c r="V19" s="17"/>
      <c r="W19" s="23">
        <f>U19</f>
        <v>16</v>
      </c>
      <c r="X19" s="19">
        <v>13</v>
      </c>
      <c r="Y19" s="19"/>
    </row>
    <row r="20" spans="1:25" ht="12.75">
      <c r="A20" s="20">
        <v>14</v>
      </c>
      <c r="B20" s="15" t="str">
        <f ca="1">IFERROR(__xludf.DUMMYFUNCTION("""COMPUTED_VALUE"""),"Пузина Анна Алексеевна")</f>
        <v>Пузина Анна Алексеевна</v>
      </c>
      <c r="C20" s="64">
        <v>902</v>
      </c>
      <c r="D20" s="76" t="s">
        <v>92</v>
      </c>
      <c r="E20" s="68">
        <f ca="1">IFERROR(__xludf.DUMMYFUNCTION("""COMPUTED_VALUE"""),9)</f>
        <v>9</v>
      </c>
      <c r="F20" s="15" t="str">
        <f ca="1">IFERROR(__xludf.DUMMYFUNCTION("""COMPUTED_VALUE"""),"Моисеева Татьяна Владимировна")</f>
        <v>Моисеева Татьяна Владимировна</v>
      </c>
      <c r="G20" s="20">
        <v>1</v>
      </c>
      <c r="H20" s="20">
        <v>1</v>
      </c>
      <c r="I20" s="20">
        <v>0</v>
      </c>
      <c r="J20" s="20">
        <v>0</v>
      </c>
      <c r="K20" s="20">
        <v>2</v>
      </c>
      <c r="L20" s="20">
        <v>2</v>
      </c>
      <c r="M20" s="20">
        <v>1</v>
      </c>
      <c r="N20" s="20">
        <v>0</v>
      </c>
      <c r="O20" s="20">
        <v>1</v>
      </c>
      <c r="P20" s="20">
        <v>2</v>
      </c>
      <c r="Q20" s="20">
        <v>2</v>
      </c>
      <c r="R20" s="20">
        <v>0</v>
      </c>
      <c r="S20" s="20">
        <v>2</v>
      </c>
      <c r="T20" s="20"/>
      <c r="U20" s="19">
        <f>SUM(G20:S20)</f>
        <v>14</v>
      </c>
      <c r="V20" s="17"/>
      <c r="W20" s="23">
        <f>U20</f>
        <v>14</v>
      </c>
      <c r="X20" s="20">
        <v>14</v>
      </c>
      <c r="Y20" s="19"/>
    </row>
    <row r="21" spans="1:25" ht="12.75">
      <c r="A21" s="20">
        <v>15</v>
      </c>
      <c r="B21" s="15" t="str">
        <f ca="1">IFERROR(__xludf.DUMMYFUNCTION("IMPORTRANGE(""https://docs.google.com/spreadsheets/d/16CWr8ky6L0i1S4UOLMYHizeHS6aZnIDEnQPyRJyTpcI/edit#gid=0"", ""СОШ №1!B23:O27"")"),"Кобякова Диана Александровна")</f>
        <v>Кобякова Диана Александровна</v>
      </c>
      <c r="C21" s="64">
        <v>916</v>
      </c>
      <c r="D21" s="15" t="str">
        <f ca="1">IFERROR(__xludf.DUMMYFUNCTION("""COMPUTED_VALUE"""),"МОУ ""СОШ №1""")</f>
        <v>МОУ "СОШ №1"</v>
      </c>
      <c r="E21" s="68">
        <f ca="1">IFERROR(__xludf.DUMMYFUNCTION("""COMPUTED_VALUE"""),9)</f>
        <v>9</v>
      </c>
      <c r="F21" s="15" t="str">
        <f ca="1">IFERROR(__xludf.DUMMYFUNCTION("""COMPUTED_VALUE"""),"Решетникова Светлана Евгеньевна")</f>
        <v>Решетникова Светлана Евгеньевна</v>
      </c>
      <c r="G21" s="20">
        <v>2</v>
      </c>
      <c r="H21" s="20">
        <v>0</v>
      </c>
      <c r="I21" s="20">
        <v>0</v>
      </c>
      <c r="J21" s="20">
        <v>0</v>
      </c>
      <c r="K21" s="20">
        <v>2</v>
      </c>
      <c r="L21" s="20">
        <v>1</v>
      </c>
      <c r="M21" s="20">
        <v>0</v>
      </c>
      <c r="N21" s="20">
        <v>0</v>
      </c>
      <c r="O21" s="20">
        <v>1</v>
      </c>
      <c r="P21" s="20">
        <v>2</v>
      </c>
      <c r="Q21" s="20">
        <v>3</v>
      </c>
      <c r="R21" s="20">
        <v>1</v>
      </c>
      <c r="S21" s="20">
        <v>1</v>
      </c>
      <c r="T21" s="20"/>
      <c r="U21" s="19">
        <f>SUM(G21:S21)</f>
        <v>13</v>
      </c>
      <c r="V21" s="17"/>
      <c r="W21" s="23">
        <f>U21</f>
        <v>13</v>
      </c>
      <c r="X21" s="20">
        <v>15</v>
      </c>
      <c r="Y21" s="19"/>
    </row>
    <row r="22" spans="1:25" ht="12.75">
      <c r="A22" s="20">
        <v>16</v>
      </c>
      <c r="B22" s="15" t="str">
        <f ca="1">IFERROR(__xludf.DUMMYFUNCTION("IMPORTRANGE(""https://docs.google.com/spreadsheets/d/16CWr8ky6L0i1S4UOLMYHizeHS6aZnIDEnQPyRJyTpcI/edit#gid=0"", ""СОШ №33!B23:O27"")"),"Орлова Алена Алексеевна")</f>
        <v>Орлова Алена Алексеевна</v>
      </c>
      <c r="C22" s="64">
        <v>915</v>
      </c>
      <c r="D22" s="76" t="s">
        <v>94</v>
      </c>
      <c r="E22" s="68">
        <f ca="1">IFERROR(__xludf.DUMMYFUNCTION("""COMPUTED_VALUE"""),9)</f>
        <v>9</v>
      </c>
      <c r="F22" s="15" t="str">
        <f ca="1">IFERROR(__xludf.DUMMYFUNCTION("""COMPUTED_VALUE"""),"Власова Татьяна Станиславовна")</f>
        <v>Власова Татьяна Станиславовна</v>
      </c>
      <c r="G22" s="20">
        <v>1</v>
      </c>
      <c r="H22" s="20">
        <v>0</v>
      </c>
      <c r="I22" s="20">
        <v>0</v>
      </c>
      <c r="J22" s="20">
        <v>0</v>
      </c>
      <c r="K22" s="20">
        <v>2</v>
      </c>
      <c r="L22" s="20">
        <v>1</v>
      </c>
      <c r="M22" s="20">
        <v>0</v>
      </c>
      <c r="N22" s="20">
        <v>0</v>
      </c>
      <c r="O22" s="20">
        <v>0</v>
      </c>
      <c r="P22" s="20">
        <v>1</v>
      </c>
      <c r="Q22" s="20">
        <v>0</v>
      </c>
      <c r="R22" s="20">
        <v>0</v>
      </c>
      <c r="S22" s="20">
        <v>0</v>
      </c>
      <c r="T22" s="20"/>
      <c r="U22" s="19">
        <f>SUM(G22:S22)</f>
        <v>5</v>
      </c>
      <c r="V22" s="17"/>
      <c r="W22" s="23">
        <f>U22</f>
        <v>5</v>
      </c>
      <c r="X22" s="19">
        <v>16</v>
      </c>
      <c r="Y22" s="19"/>
    </row>
    <row r="23" spans="1:25" ht="12.75">
      <c r="A23" s="19">
        <v>17</v>
      </c>
      <c r="B23" s="15" t="str">
        <f ca="1">IFERROR(__xludf.DUMMYFUNCTION("""COMPUTED_VALUE"""),"Гусева Елизавета Дмитриевна")</f>
        <v>Гусева Елизавета Дмитриевна</v>
      </c>
      <c r="C23" s="64"/>
      <c r="D23" s="76" t="s">
        <v>94</v>
      </c>
      <c r="E23" s="68">
        <f ca="1">IFERROR(__xludf.DUMMYFUNCTION("""COMPUTED_VALUE"""),9)</f>
        <v>9</v>
      </c>
      <c r="F23" s="15" t="str">
        <f ca="1">IFERROR(__xludf.DUMMYFUNCTION("""COMPUTED_VALUE"""),"Сибряева Надежда Васильевна")</f>
        <v>Сибряева Надежда Васильевна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9"/>
      <c r="V23" s="17"/>
      <c r="W23" s="23"/>
      <c r="X23" s="20"/>
      <c r="Y23" s="19"/>
    </row>
    <row r="24" spans="1:25" ht="12.75">
      <c r="A24" s="20">
        <v>18</v>
      </c>
      <c r="B24" s="18" t="str">
        <f ca="1">IFERROR(__xludf.DUMMYFUNCTION("IMPORTRANGE(""https://docs.google.com/spreadsheets/d/16CWr8ky6L0i1S4UOLMYHizeHS6aZnIDEnQPyRJyTpcI/edit#gid=0"", ""ООШ №10!B23:O27"")"),"Закопайло Вероника Тарасовна")</f>
        <v>Закопайло Вероника Тарасовна</v>
      </c>
      <c r="C24" s="64"/>
      <c r="D24" s="15" t="str">
        <f ca="1">IFERROR(__xludf.DUMMYFUNCTION("""COMPUTED_VALUE"""),"МОУ ""ООШ№10""")</f>
        <v>МОУ "ООШ№10"</v>
      </c>
      <c r="E24" s="68">
        <f ca="1">IFERROR(__xludf.DUMMYFUNCTION("""COMPUTED_VALUE"""),9)</f>
        <v>9</v>
      </c>
      <c r="F24" s="15" t="str">
        <f ca="1">IFERROR(__xludf.DUMMYFUNCTION("""COMPUTED_VALUE"""),"Бузюрова Оксана Васильевна")</f>
        <v>Бузюрова Оксана Васильевна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7"/>
      <c r="W24" s="23"/>
      <c r="X24" s="20"/>
      <c r="Y24" s="19"/>
    </row>
    <row r="25" spans="1:25" ht="12.75">
      <c r="A25" s="20">
        <v>19</v>
      </c>
      <c r="B25" s="15" t="str">
        <f ca="1">IFERROR(__xludf.DUMMYFUNCTION("""COMPUTED_VALUE"""),"Калабугин Максим Андреевич")</f>
        <v>Калабугин Максим Андреевич</v>
      </c>
      <c r="C25" s="64"/>
      <c r="D25" s="15" t="str">
        <f ca="1">IFERROR(__xludf.DUMMYFUNCTION("""COMPUTED_VALUE"""),"МОУ ""ООШ№10""")</f>
        <v>МОУ "ООШ№10"</v>
      </c>
      <c r="E25" s="68">
        <f ca="1">IFERROR(__xludf.DUMMYFUNCTION("""COMPUTED_VALUE"""),9)</f>
        <v>9</v>
      </c>
      <c r="F25" s="15" t="str">
        <f ca="1">IFERROR(__xludf.DUMMYFUNCTION("""COMPUTED_VALUE"""),"Бузюрова Оксана Васильевна")</f>
        <v>Бузюрова Оксана Васильевна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7"/>
      <c r="W25" s="23"/>
      <c r="X25" s="19"/>
      <c r="Y25" s="19"/>
    </row>
    <row r="26" spans="1:25" ht="12.75">
      <c r="A26" s="20">
        <v>20</v>
      </c>
      <c r="B26" s="15" t="str">
        <f ca="1">IFERROR(__xludf.DUMMYFUNCTION("""COMPUTED_VALUE"""),"Капанадзе Виктория Витальевна")</f>
        <v>Капанадзе Виктория Витальевна</v>
      </c>
      <c r="C26" s="64"/>
      <c r="D26" s="76" t="s">
        <v>88</v>
      </c>
      <c r="E26" s="68">
        <f ca="1">IFERROR(__xludf.DUMMYFUNCTION("""COMPUTED_VALUE"""),9)</f>
        <v>9</v>
      </c>
      <c r="F26" s="15" t="str">
        <f ca="1">IFERROR(__xludf.DUMMYFUNCTION("""COMPUTED_VALUE"""),"Новинкина Светлана Габдулловна")</f>
        <v>Новинкина Светлана Габдулловна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9"/>
      <c r="V26" s="17"/>
      <c r="W26" s="23"/>
      <c r="X26" s="20"/>
      <c r="Y26" s="19"/>
    </row>
    <row r="27" spans="1:25" ht="12.75">
      <c r="A27" s="19">
        <v>21</v>
      </c>
      <c r="B27" s="16" t="str">
        <f ca="1">IFERROR(__xludf.DUMMYFUNCTION("""COMPUTED_VALUE"""),"Ким Владимир Дмитриевич")</f>
        <v>Ким Владимир Дмитриевич</v>
      </c>
      <c r="C27" s="65"/>
      <c r="D27" s="16" t="str">
        <f ca="1">IFERROR(__xludf.DUMMYFUNCTION("""COMPUTED_VALUE"""),"МАОУ ""ООШ с. Степное""")</f>
        <v>МАОУ "ООШ с. Степное"</v>
      </c>
      <c r="E27" s="69">
        <f ca="1">IFERROR(__xludf.DUMMYFUNCTION("""COMPUTED_VALUE"""),9)</f>
        <v>9</v>
      </c>
      <c r="F27" s="16" t="str">
        <f ca="1">IFERROR(__xludf.DUMMYFUNCTION("""COMPUTED_VALUE"""),"Макарова Зухра Амирджановна")</f>
        <v>Макарова Зухра Амирджановна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9"/>
      <c r="V27" s="17"/>
      <c r="W27" s="23"/>
      <c r="X27" s="20"/>
      <c r="Y27" s="19"/>
    </row>
    <row r="28" spans="1:25" ht="12.75">
      <c r="A28" s="20">
        <v>22</v>
      </c>
      <c r="B28" s="15" t="str">
        <f ca="1">IFERROR(__xludf.DUMMYFUNCTION("""COMPUTED_VALUE"""),"Кравченко Валерия Сергеевна")</f>
        <v>Кравченко Валерия Сергеевна</v>
      </c>
      <c r="C28" s="64"/>
      <c r="D28" s="15" t="str">
        <f ca="1">IFERROR(__xludf.DUMMYFUNCTION("""COMPUTED_VALUE"""),"МОУ ""ООШ№10""")</f>
        <v>МОУ "ООШ№10"</v>
      </c>
      <c r="E28" s="68">
        <f ca="1">IFERROR(__xludf.DUMMYFUNCTION("""COMPUTED_VALUE"""),9)</f>
        <v>9</v>
      </c>
      <c r="F28" s="15" t="str">
        <f ca="1">IFERROR(__xludf.DUMMYFUNCTION("""COMPUTED_VALUE"""),"Бузюрова Оксана Васильевна")</f>
        <v>Бузюрова Оксана Васильевна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9"/>
      <c r="V28" s="17"/>
      <c r="W28" s="23"/>
      <c r="X28" s="19"/>
      <c r="Y28" s="19"/>
    </row>
    <row r="29" spans="1:25" ht="12.75">
      <c r="A29" s="20">
        <v>23</v>
      </c>
      <c r="B29" s="16" t="str">
        <f ca="1">IFERROR(__xludf.DUMMYFUNCTION("""COMPUTED_VALUE"""),"Слепов Михаил Александрович")</f>
        <v>Слепов Михаил Александрович</v>
      </c>
      <c r="C29" s="65"/>
      <c r="D29" s="76" t="s">
        <v>93</v>
      </c>
      <c r="E29" s="69">
        <f ca="1">IFERROR(__xludf.DUMMYFUNCTION("""COMPUTED_VALUE"""),9)</f>
        <v>9</v>
      </c>
      <c r="F29" s="16" t="str">
        <f ca="1">IFERROR(__xludf.DUMMYFUNCTION("""COMPUTED_VALUE"""),"Шевченко Татьяна Петровна")</f>
        <v>Шевченко Татьяна Петровна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9"/>
      <c r="V29" s="17"/>
      <c r="W29" s="23"/>
      <c r="X29" s="20"/>
      <c r="Y29" s="19"/>
    </row>
    <row r="30" spans="1:25" ht="12.75">
      <c r="A30" s="20">
        <v>24</v>
      </c>
      <c r="B30" s="18" t="str">
        <f ca="1">IFERROR(__xludf.DUMMYFUNCTION("IMPORTRANGE(""https://docs.google.com/spreadsheets/d/16CWr8ky6L0i1S4UOLMYHizeHS6aZnIDEnQPyRJyTpcI/edit#gid=0"", ""СОШ с. Березовка!B23:O27"")"),"Смагина Ксения Викторовна")</f>
        <v>Смагина Ксения Викторовна</v>
      </c>
      <c r="C30" s="65"/>
      <c r="D30" s="16" t="str">
        <f ca="1">IFERROR(__xludf.DUMMYFUNCTION("""COMPUTED_VALUE"""),"МОУ ""СОШ с. Березовка""")</f>
        <v>МОУ "СОШ с. Березовка"</v>
      </c>
      <c r="E30" s="69">
        <f ca="1">IFERROR(__xludf.DUMMYFUNCTION("""COMPUTED_VALUE"""),9)</f>
        <v>9</v>
      </c>
      <c r="F30" s="16" t="str">
        <f ca="1">IFERROR(__xludf.DUMMYFUNCTION("""COMPUTED_VALUE"""),"Турсумбек Нагима Айгалиевна ")</f>
        <v xml:space="preserve">Турсумбек Нагима Айгалиевна 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9"/>
      <c r="V30" s="17"/>
      <c r="W30" s="23"/>
      <c r="X30" s="20"/>
      <c r="Y30" s="19"/>
    </row>
    <row r="31" spans="1:25" ht="12.75">
      <c r="A31" s="19">
        <v>25</v>
      </c>
      <c r="B31" s="15" t="str">
        <f ca="1">IFERROR(__xludf.DUMMYFUNCTION("""COMPUTED_VALUE"""),"Токарев Алексей Евгеньевич")</f>
        <v>Токарев Алексей Евгеньевич</v>
      </c>
      <c r="C31" s="64"/>
      <c r="D31" s="15" t="str">
        <f ca="1">IFERROR(__xludf.DUMMYFUNCTION("""COMPUTED_VALUE"""),"МОУ ""ООШ№10""")</f>
        <v>МОУ "ООШ№10"</v>
      </c>
      <c r="E31" s="68">
        <f ca="1">IFERROR(__xludf.DUMMYFUNCTION("""COMPUTED_VALUE"""),9)</f>
        <v>9</v>
      </c>
      <c r="F31" s="15" t="str">
        <f ca="1">IFERROR(__xludf.DUMMYFUNCTION("""COMPUTED_VALUE"""),"Бузюрова Оксана Васильевна")</f>
        <v>Бузюрова Оксана Васильевна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9"/>
      <c r="V31" s="17"/>
      <c r="W31" s="23"/>
      <c r="X31" s="19"/>
      <c r="Y31" s="19"/>
    </row>
    <row r="32" spans="1:25" ht="15.75" customHeight="1">
      <c r="B32" s="47" t="s">
        <v>87</v>
      </c>
    </row>
    <row r="33" spans="2:2" ht="15.75" customHeight="1">
      <c r="B33" s="47" t="s">
        <v>79</v>
      </c>
    </row>
    <row r="34" spans="2:2" ht="15.75" customHeight="1">
      <c r="B34" s="47" t="s">
        <v>80</v>
      </c>
    </row>
    <row r="35" spans="2:2" ht="15.75" customHeight="1">
      <c r="B35" s="47" t="s">
        <v>83</v>
      </c>
    </row>
    <row r="36" spans="2:2" ht="15.75" customHeight="1">
      <c r="B36" s="47" t="s">
        <v>81</v>
      </c>
    </row>
    <row r="37" spans="2:2" ht="15.75" customHeight="1">
      <c r="B37" s="47" t="s">
        <v>84</v>
      </c>
    </row>
    <row r="38" spans="2:2" ht="15.75" customHeight="1">
      <c r="B38" s="47" t="s">
        <v>82</v>
      </c>
    </row>
    <row r="39" spans="2:2" ht="15.75" customHeight="1">
      <c r="B39" s="47" t="s">
        <v>85</v>
      </c>
    </row>
    <row r="40" spans="2:2" ht="15.75" customHeight="1">
      <c r="B40" s="48" t="s">
        <v>86</v>
      </c>
    </row>
  </sheetData>
  <autoFilter ref="A5:Y31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sortState ref="B7:W22">
    <sortCondition descending="1" ref="W7:W22"/>
  </sortState>
  <mergeCells count="10">
    <mergeCell ref="A2:Z2"/>
    <mergeCell ref="A3:Z3"/>
    <mergeCell ref="A4:Z4"/>
    <mergeCell ref="A5:A6"/>
    <mergeCell ref="B5:B6"/>
    <mergeCell ref="C5:C6"/>
    <mergeCell ref="D5:D6"/>
    <mergeCell ref="E5:E6"/>
    <mergeCell ref="F5:F6"/>
    <mergeCell ref="G5:S5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39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39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39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39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39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39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39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39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39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39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39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39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39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39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39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39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39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39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39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39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39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39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39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39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39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39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39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39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39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39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39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39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39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39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39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40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40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40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40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40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40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40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40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40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40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40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40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40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40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40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40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40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40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40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40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40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40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40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40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40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40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40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40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40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40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40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40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40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40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40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41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41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41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41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41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41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41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41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41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41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41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41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41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41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41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41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41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41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41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41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41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41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41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41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41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41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41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41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41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41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41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41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41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41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41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43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43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43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43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43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43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43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43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43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43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43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43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43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43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43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43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43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43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43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43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43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43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43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43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43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43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43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43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43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43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43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43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43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43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43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44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44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44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44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44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44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44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44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44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44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44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44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44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44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44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44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44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44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44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44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44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44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44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44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44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44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44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44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44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44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44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44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44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44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44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47" customWidth="1"/>
    <col min="4" max="4" width="21.140625" customWidth="1"/>
    <col min="6" max="6" width="46.710937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45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45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45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45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45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45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45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45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45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45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45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45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45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45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45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45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45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45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45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45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45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45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45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45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45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45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45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45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45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45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45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45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45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45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45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C37"/>
  <sheetViews>
    <sheetView topLeftCell="J1" zoomScale="80" zoomScaleNormal="80" workbookViewId="0">
      <selection activeCell="Z33" sqref="Z33"/>
    </sheetView>
  </sheetViews>
  <sheetFormatPr defaultColWidth="14.42578125" defaultRowHeight="15.75" customHeight="1"/>
  <cols>
    <col min="1" max="1" width="7" customWidth="1"/>
    <col min="2" max="2" width="40.5703125" customWidth="1"/>
    <col min="3" max="3" width="12.85546875" customWidth="1"/>
    <col min="4" max="4" width="23.42578125" customWidth="1"/>
    <col min="5" max="5" width="9.85546875" customWidth="1"/>
    <col min="6" max="6" width="34.5703125" customWidth="1"/>
    <col min="7" max="21" width="8.7109375" customWidth="1"/>
    <col min="22" max="24" width="10.85546875" hidden="1" customWidth="1"/>
    <col min="29" max="29" width="20.85546875" customWidth="1"/>
  </cols>
  <sheetData>
    <row r="2" spans="1:29" ht="15.75" customHeight="1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2"/>
    </row>
    <row r="3" spans="1:29" ht="15.75" customHeight="1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26"/>
    </row>
    <row r="4" spans="1:29" ht="15.75" customHeight="1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6"/>
    </row>
    <row r="5" spans="1:29" ht="12.75" customHeight="1">
      <c r="A5" s="30" t="s">
        <v>0</v>
      </c>
      <c r="B5" s="30" t="s">
        <v>1</v>
      </c>
      <c r="C5" s="59" t="s">
        <v>2</v>
      </c>
      <c r="D5" s="81" t="s">
        <v>3</v>
      </c>
      <c r="E5" s="30" t="s">
        <v>4</v>
      </c>
      <c r="F5" s="30" t="s">
        <v>5</v>
      </c>
      <c r="G5" s="52" t="s">
        <v>6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41"/>
      <c r="X5" s="13"/>
      <c r="Y5" s="27" t="s">
        <v>11</v>
      </c>
      <c r="Z5" s="29" t="s">
        <v>7</v>
      </c>
      <c r="AA5" s="29" t="s">
        <v>8</v>
      </c>
      <c r="AB5" s="29" t="s">
        <v>9</v>
      </c>
      <c r="AC5" s="44" t="s">
        <v>10</v>
      </c>
    </row>
    <row r="6" spans="1:29" ht="12.75">
      <c r="A6" s="36"/>
      <c r="B6" s="36"/>
      <c r="C6" s="60"/>
      <c r="D6" s="81"/>
      <c r="E6" s="36"/>
      <c r="F6" s="36"/>
      <c r="G6" s="39" t="s">
        <v>53</v>
      </c>
      <c r="H6" s="39" t="s">
        <v>54</v>
      </c>
      <c r="I6" s="39" t="s">
        <v>55</v>
      </c>
      <c r="J6" s="39" t="s">
        <v>56</v>
      </c>
      <c r="K6" s="39" t="s">
        <v>57</v>
      </c>
      <c r="L6" s="39" t="s">
        <v>58</v>
      </c>
      <c r="M6" s="39" t="s">
        <v>59</v>
      </c>
      <c r="N6" s="39" t="s">
        <v>60</v>
      </c>
      <c r="O6" s="39" t="s">
        <v>61</v>
      </c>
      <c r="P6" s="39" t="s">
        <v>62</v>
      </c>
      <c r="Q6" s="40" t="s">
        <v>63</v>
      </c>
      <c r="R6" s="40" t="s">
        <v>64</v>
      </c>
      <c r="S6" s="40" t="s">
        <v>65</v>
      </c>
      <c r="T6" s="40" t="s">
        <v>66</v>
      </c>
      <c r="U6" s="40" t="s">
        <v>67</v>
      </c>
      <c r="V6" s="40"/>
      <c r="W6" s="45"/>
      <c r="X6" s="31"/>
      <c r="Y6" s="31" t="s">
        <v>68</v>
      </c>
      <c r="Z6" s="37"/>
      <c r="AA6" s="37"/>
      <c r="AB6" s="37">
        <v>1</v>
      </c>
      <c r="AC6" s="29"/>
    </row>
    <row r="7" spans="1:29" ht="12.75">
      <c r="A7" s="21">
        <v>1</v>
      </c>
      <c r="B7" s="24" t="str">
        <f ca="1">IFERROR(__xludf.DUMMYFUNCTION("IMPORTRANGE(""https://docs.google.com/spreadsheets/d/16CWr8ky6L0i1S4UOLMYHizeHS6aZnIDEnQPyRJyTpcI/edit#gid=0"", ""Обр.центр!B28:O32"")"),"Четина Мария Романовна")</f>
        <v>Четина Мария Романовна</v>
      </c>
      <c r="C7" s="24">
        <v>1015</v>
      </c>
      <c r="D7" s="76" t="s">
        <v>89</v>
      </c>
      <c r="E7" s="20">
        <f ca="1">IFERROR(__xludf.DUMMYFUNCTION("""COMPUTED_VALUE"""),10)</f>
        <v>10</v>
      </c>
      <c r="F7" s="24" t="str">
        <f ca="1">IFERROR(__xludf.DUMMYFUNCTION("""COMPUTED_VALUE"""),"Газданова Валентина Владимировна")</f>
        <v>Газданова Валентина Владимировна</v>
      </c>
      <c r="G7" s="20">
        <v>4</v>
      </c>
      <c r="H7" s="20">
        <v>1</v>
      </c>
      <c r="I7" s="20">
        <v>2</v>
      </c>
      <c r="J7" s="20">
        <v>0</v>
      </c>
      <c r="K7" s="20">
        <v>0</v>
      </c>
      <c r="L7" s="20">
        <v>0</v>
      </c>
      <c r="M7" s="20">
        <v>1</v>
      </c>
      <c r="N7" s="20">
        <v>3</v>
      </c>
      <c r="O7" s="20">
        <v>2</v>
      </c>
      <c r="P7" s="20">
        <v>3</v>
      </c>
      <c r="Q7" s="20">
        <v>2</v>
      </c>
      <c r="R7" s="20">
        <v>0</v>
      </c>
      <c r="S7" s="20">
        <v>2</v>
      </c>
      <c r="T7" s="20">
        <v>4</v>
      </c>
      <c r="U7" s="20">
        <v>2</v>
      </c>
      <c r="V7" s="20"/>
      <c r="W7" s="20"/>
      <c r="X7" s="20"/>
      <c r="Y7" s="20">
        <f>SUM(G7:U7)</f>
        <v>26</v>
      </c>
      <c r="Z7" s="20"/>
      <c r="AA7" s="19">
        <f>Y7</f>
        <v>26</v>
      </c>
      <c r="AB7" s="19">
        <v>1</v>
      </c>
      <c r="AC7" s="19"/>
    </row>
    <row r="8" spans="1:29" ht="12.75">
      <c r="A8" s="21">
        <v>2</v>
      </c>
      <c r="B8" s="25" t="str">
        <f ca="1">IFERROR(__xludf.DUMMYFUNCTION("IMPORTRANGE(""https://docs.google.com/spreadsheets/d/16CWr8ky6L0i1S4UOLMYHizeHS6aZnIDEnQPyRJyTpcI/edit#gid=0"", ""СОШ п. им. К.Маркса!B40:O40"")"),"Червякова Яна Александровна")</f>
        <v>Червякова Яна Александровна</v>
      </c>
      <c r="C8" s="22">
        <v>1013</v>
      </c>
      <c r="D8" s="22" t="str">
        <f ca="1">IFERROR(__xludf.DUMMYFUNCTION("""COMPUTED_VALUE"""),"МОУ ""СОШ п. им. К. Маркса""")</f>
        <v>МОУ "СОШ п. им. К. Маркса"</v>
      </c>
      <c r="E8" s="19">
        <f ca="1">IFERROR(__xludf.DUMMYFUNCTION("""COMPUTED_VALUE"""),10)</f>
        <v>10</v>
      </c>
      <c r="F8" s="22" t="str">
        <f ca="1">IFERROR(__xludf.DUMMYFUNCTION("""COMPUTED_VALUE"""),"Постнова Ольга Вениаминовна")</f>
        <v>Постнова Ольга Вениаминовна</v>
      </c>
      <c r="G8" s="20">
        <v>4</v>
      </c>
      <c r="H8" s="20">
        <v>0</v>
      </c>
      <c r="I8" s="20">
        <v>2</v>
      </c>
      <c r="J8" s="20">
        <v>6</v>
      </c>
      <c r="K8" s="20">
        <v>0</v>
      </c>
      <c r="L8" s="20">
        <v>0</v>
      </c>
      <c r="M8" s="20">
        <v>0</v>
      </c>
      <c r="N8" s="20">
        <v>3</v>
      </c>
      <c r="O8" s="20">
        <v>4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4</v>
      </c>
      <c r="V8" s="20"/>
      <c r="W8" s="20"/>
      <c r="X8" s="20"/>
      <c r="Y8" s="20">
        <f>SUM(G8:U8)</f>
        <v>23</v>
      </c>
      <c r="Z8" s="20"/>
      <c r="AA8" s="19">
        <f>Y8</f>
        <v>23</v>
      </c>
      <c r="AB8" s="20">
        <v>2</v>
      </c>
      <c r="AC8" s="19"/>
    </row>
    <row r="9" spans="1:29" ht="12.75">
      <c r="A9" s="21">
        <v>3</v>
      </c>
      <c r="B9" s="24" t="str">
        <f ca="1">IFERROR(__xludf.DUMMYFUNCTION("""COMPUTED_VALUE"""),"Сорокина Дарья Алексеевна")</f>
        <v>Сорокина Дарья Алексеевна</v>
      </c>
      <c r="C9" s="24">
        <v>1010</v>
      </c>
      <c r="D9" s="76" t="s">
        <v>94</v>
      </c>
      <c r="E9" s="20">
        <f ca="1">IFERROR(__xludf.DUMMYFUNCTION("""COMPUTED_VALUE"""),10)</f>
        <v>10</v>
      </c>
      <c r="F9" s="24" t="str">
        <f ca="1">IFERROR(__xludf.DUMMYFUNCTION("""COMPUTED_VALUE"""),"Чермашенцева Анжела Сергеевна")</f>
        <v>Чермашенцева Анжела Сергеевна</v>
      </c>
      <c r="G9" s="20">
        <v>3</v>
      </c>
      <c r="H9" s="20">
        <v>3</v>
      </c>
      <c r="I9" s="20">
        <v>3</v>
      </c>
      <c r="J9" s="20">
        <v>4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1</v>
      </c>
      <c r="Q9" s="20">
        <v>0</v>
      </c>
      <c r="R9" s="20">
        <v>1</v>
      </c>
      <c r="S9" s="20">
        <v>1</v>
      </c>
      <c r="T9" s="20">
        <v>4</v>
      </c>
      <c r="U9" s="20">
        <v>0</v>
      </c>
      <c r="V9" s="20"/>
      <c r="W9" s="20"/>
      <c r="X9" s="20"/>
      <c r="Y9" s="20">
        <f>SUM(G9:U9)</f>
        <v>20</v>
      </c>
      <c r="Z9" s="20"/>
      <c r="AA9" s="19">
        <f>Y9</f>
        <v>20</v>
      </c>
      <c r="AB9" s="20">
        <v>3</v>
      </c>
      <c r="AC9" s="19"/>
    </row>
    <row r="10" spans="1:29" ht="12.75">
      <c r="A10" s="21">
        <v>4</v>
      </c>
      <c r="B10" s="24" t="str">
        <f ca="1">IFERROR(__xludf.DUMMYFUNCTION("""COMPUTED_VALUE"""),"Мордовина Татьяна Васильевна")</f>
        <v>Мордовина Татьяна Васильевна</v>
      </c>
      <c r="C10" s="24">
        <v>1011</v>
      </c>
      <c r="D10" s="76" t="s">
        <v>94</v>
      </c>
      <c r="E10" s="20">
        <f ca="1">IFERROR(__xludf.DUMMYFUNCTION("""COMPUTED_VALUE"""),10)</f>
        <v>10</v>
      </c>
      <c r="F10" s="24" t="str">
        <f ca="1">IFERROR(__xludf.DUMMYFUNCTION("""COMPUTED_VALUE"""),"Чермашенцева Анжела Сергеевна")</f>
        <v>Чермашенцева Анжела Сергеевна</v>
      </c>
      <c r="G10" s="19">
        <v>0</v>
      </c>
      <c r="H10" s="19">
        <v>1</v>
      </c>
      <c r="I10" s="19">
        <v>4</v>
      </c>
      <c r="J10" s="19">
        <v>3</v>
      </c>
      <c r="K10" s="19">
        <v>1</v>
      </c>
      <c r="L10" s="19">
        <v>2</v>
      </c>
      <c r="M10" s="19">
        <v>0</v>
      </c>
      <c r="N10" s="19">
        <v>2</v>
      </c>
      <c r="O10" s="19">
        <v>0</v>
      </c>
      <c r="P10" s="19">
        <v>1</v>
      </c>
      <c r="Q10" s="19">
        <v>1</v>
      </c>
      <c r="R10" s="19">
        <v>2</v>
      </c>
      <c r="S10" s="19">
        <v>1</v>
      </c>
      <c r="T10" s="19">
        <v>0</v>
      </c>
      <c r="U10" s="19">
        <v>1</v>
      </c>
      <c r="V10" s="19"/>
      <c r="W10" s="19"/>
      <c r="X10" s="19"/>
      <c r="Y10" s="20">
        <f>SUM(G10:U10)</f>
        <v>19</v>
      </c>
      <c r="Z10" s="19"/>
      <c r="AA10" s="19">
        <f>Y10</f>
        <v>19</v>
      </c>
      <c r="AB10" s="19">
        <v>4</v>
      </c>
      <c r="AC10" s="19"/>
    </row>
    <row r="11" spans="1:29" ht="12.75">
      <c r="A11" s="21">
        <v>5</v>
      </c>
      <c r="B11" s="24" t="str">
        <f ca="1">IFERROR(__xludf.DUMMYFUNCTION("""COMPUTED_VALUE"""),"Корниенко Виктор Андреевич")</f>
        <v>Корниенко Виктор Андреевич</v>
      </c>
      <c r="C11" s="24">
        <v>1007</v>
      </c>
      <c r="D11" s="24" t="str">
        <f ca="1">IFERROR(__xludf.DUMMYFUNCTION("""COMPUTED_VALUE"""),"МОУ ""СОШ №19""")</f>
        <v>МОУ "СОШ №19"</v>
      </c>
      <c r="E11" s="20">
        <f ca="1">IFERROR(__xludf.DUMMYFUNCTION("""COMPUTED_VALUE"""),10)</f>
        <v>10</v>
      </c>
      <c r="F11" s="24" t="str">
        <f ca="1">IFERROR(__xludf.DUMMYFUNCTION("""COMPUTED_VALUE"""),"Карташова Анна Александровна")</f>
        <v>Карташова Анна Александровна</v>
      </c>
      <c r="G11" s="20">
        <v>2</v>
      </c>
      <c r="H11" s="20">
        <v>3</v>
      </c>
      <c r="I11" s="20">
        <v>3</v>
      </c>
      <c r="J11" s="20">
        <v>4</v>
      </c>
      <c r="K11" s="20">
        <v>0</v>
      </c>
      <c r="L11" s="20">
        <v>1</v>
      </c>
      <c r="M11" s="20">
        <v>0</v>
      </c>
      <c r="N11" s="20">
        <v>1</v>
      </c>
      <c r="O11" s="20">
        <v>1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1</v>
      </c>
      <c r="V11" s="20"/>
      <c r="W11" s="20"/>
      <c r="X11" s="20"/>
      <c r="Y11" s="20">
        <f>SUM(G11:U11)</f>
        <v>16</v>
      </c>
      <c r="Z11" s="20"/>
      <c r="AA11" s="19">
        <f>Y11</f>
        <v>16</v>
      </c>
      <c r="AB11" s="20">
        <v>5</v>
      </c>
      <c r="AC11" s="19"/>
    </row>
    <row r="12" spans="1:29" ht="12.75">
      <c r="A12" s="21">
        <v>6</v>
      </c>
      <c r="B12" s="22" t="str">
        <f ca="1">IFERROR(__xludf.DUMMYFUNCTION("""COMPUTED_VALUE"""),"Жаркова Валерия Алекандровна")</f>
        <v>Жаркова Валерия Алекандровна</v>
      </c>
      <c r="C12" s="22">
        <v>1014</v>
      </c>
      <c r="D12" s="22" t="str">
        <f ca="1">IFERROR(__xludf.DUMMYFUNCTION("""COMPUTED_VALUE"""),"МОУ ""СОШ п. Придорожный""")</f>
        <v>МОУ "СОШ п. Придорожный"</v>
      </c>
      <c r="E12" s="19">
        <f ca="1">IFERROR(__xludf.DUMMYFUNCTION("""COMPUTED_VALUE"""),10)</f>
        <v>10</v>
      </c>
      <c r="F12" s="22" t="str">
        <f ca="1">IFERROR(__xludf.DUMMYFUNCTION("""COMPUTED_VALUE"""),"Демешко Екатерина Валерьевна")</f>
        <v>Демешко Екатерина Валерьевна</v>
      </c>
      <c r="G12" s="20">
        <v>4</v>
      </c>
      <c r="H12" s="20">
        <v>5</v>
      </c>
      <c r="I12" s="20">
        <v>1</v>
      </c>
      <c r="J12" s="20">
        <v>4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0">
        <v>0</v>
      </c>
      <c r="R12" s="20">
        <v>0</v>
      </c>
      <c r="S12" s="20">
        <v>1</v>
      </c>
      <c r="T12" s="20">
        <v>0</v>
      </c>
      <c r="U12" s="20">
        <v>0</v>
      </c>
      <c r="V12" s="20"/>
      <c r="W12" s="20"/>
      <c r="X12" s="20"/>
      <c r="Y12" s="20">
        <f>SUM(G12:U12)</f>
        <v>16</v>
      </c>
      <c r="Z12" s="20"/>
      <c r="AA12" s="19">
        <f>Y12</f>
        <v>16</v>
      </c>
      <c r="AB12" s="20">
        <v>6</v>
      </c>
      <c r="AC12" s="19"/>
    </row>
    <row r="13" spans="1:29" ht="12.75">
      <c r="A13" s="21">
        <v>7</v>
      </c>
      <c r="B13" s="22" t="str">
        <f ca="1">IFERROR(__xludf.DUMMYFUNCTION("""COMPUTED_VALUE"""),"Ильина Полина Дмитриевна")</f>
        <v>Ильина Полина Дмитриевна</v>
      </c>
      <c r="C13" s="22">
        <v>1012</v>
      </c>
      <c r="D13" s="22" t="str">
        <f ca="1">IFERROR(__xludf.DUMMYFUNCTION("""COMPUTED_VALUE"""),"МОУ ""СОШ п. Придорожный""")</f>
        <v>МОУ "СОШ п. Придорожный"</v>
      </c>
      <c r="E13" s="19">
        <f ca="1">IFERROR(__xludf.DUMMYFUNCTION("""COMPUTED_VALUE"""),10)</f>
        <v>10</v>
      </c>
      <c r="F13" s="22" t="str">
        <f ca="1">IFERROR(__xludf.DUMMYFUNCTION("""COMPUTED_VALUE"""),"Демешко Екатерина Валерьевна")</f>
        <v>Демешко Екатерина Валерьевна</v>
      </c>
      <c r="G13" s="19">
        <v>4</v>
      </c>
      <c r="H13" s="19">
        <v>2</v>
      </c>
      <c r="I13" s="19">
        <v>2</v>
      </c>
      <c r="J13" s="19">
        <v>3</v>
      </c>
      <c r="K13" s="19">
        <v>0</v>
      </c>
      <c r="L13" s="19">
        <v>0</v>
      </c>
      <c r="M13" s="19">
        <v>1</v>
      </c>
      <c r="N13" s="19">
        <v>0</v>
      </c>
      <c r="O13" s="19">
        <v>3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/>
      <c r="W13" s="19"/>
      <c r="X13" s="19"/>
      <c r="Y13" s="20">
        <f>SUM(G13:U13)</f>
        <v>15</v>
      </c>
      <c r="Z13" s="19"/>
      <c r="AA13" s="19">
        <f>Y13</f>
        <v>15</v>
      </c>
      <c r="AB13" s="19">
        <v>7</v>
      </c>
      <c r="AC13" s="19"/>
    </row>
    <row r="14" spans="1:29" ht="12.75">
      <c r="A14" s="21">
        <v>8</v>
      </c>
      <c r="B14" s="24" t="str">
        <f ca="1">IFERROR(__xludf.DUMMYFUNCTION("IMPORTRANGE(""https://docs.google.com/spreadsheets/d/16CWr8ky6L0i1S4UOLMYHizeHS6aZnIDEnQPyRJyTpcI/edit#gid=0"", ""СОШ №19!B28:O32"")"),"Ефименко Алиса Геннадьевна")</f>
        <v>Ефименко Алиса Геннадьевна</v>
      </c>
      <c r="C14" s="24">
        <v>1005</v>
      </c>
      <c r="D14" s="24" t="str">
        <f ca="1">IFERROR(__xludf.DUMMYFUNCTION("""COMPUTED_VALUE"""),"МОУ ""СОШ №19""")</f>
        <v>МОУ "СОШ №19"</v>
      </c>
      <c r="E14" s="20">
        <f ca="1">IFERROR(__xludf.DUMMYFUNCTION("""COMPUTED_VALUE"""),10)</f>
        <v>10</v>
      </c>
      <c r="F14" s="24" t="str">
        <f ca="1">IFERROR(__xludf.DUMMYFUNCTION("""COMPUTED_VALUE"""),"Карташова Анна Александровна")</f>
        <v>Карташова Анна Александровна</v>
      </c>
      <c r="G14" s="20">
        <v>2</v>
      </c>
      <c r="H14" s="20">
        <v>2</v>
      </c>
      <c r="I14" s="20">
        <v>1</v>
      </c>
      <c r="J14" s="20">
        <v>2</v>
      </c>
      <c r="K14" s="20">
        <v>0</v>
      </c>
      <c r="L14" s="20">
        <v>1</v>
      </c>
      <c r="M14" s="20">
        <v>0</v>
      </c>
      <c r="N14" s="20">
        <v>0</v>
      </c>
      <c r="O14" s="20">
        <v>0</v>
      </c>
      <c r="P14" s="20">
        <v>1</v>
      </c>
      <c r="Q14" s="20">
        <v>1</v>
      </c>
      <c r="R14" s="20">
        <v>0</v>
      </c>
      <c r="S14" s="20">
        <v>0</v>
      </c>
      <c r="T14" s="20">
        <v>3</v>
      </c>
      <c r="U14" s="20">
        <v>0</v>
      </c>
      <c r="V14" s="20"/>
      <c r="W14" s="20"/>
      <c r="X14" s="20"/>
      <c r="Y14" s="20">
        <f>SUM(G14:U14)</f>
        <v>13</v>
      </c>
      <c r="Z14" s="20"/>
      <c r="AA14" s="19">
        <f>Y14</f>
        <v>13</v>
      </c>
      <c r="AB14" s="20">
        <v>8</v>
      </c>
      <c r="AC14" s="19"/>
    </row>
    <row r="15" spans="1:29" ht="12.75">
      <c r="A15" s="21">
        <v>9</v>
      </c>
      <c r="B15" s="24" t="str">
        <f ca="1">IFERROR(__xludf.DUMMYFUNCTION("""COMPUTED_VALUE"""),"Пируева Алина Евгеньевна")</f>
        <v>Пируева Алина Евгеньевна</v>
      </c>
      <c r="C15" s="24">
        <v>1003</v>
      </c>
      <c r="D15" s="76" t="s">
        <v>92</v>
      </c>
      <c r="E15" s="20">
        <f ca="1">IFERROR(__xludf.DUMMYFUNCTION("""COMPUTED_VALUE"""),10)</f>
        <v>10</v>
      </c>
      <c r="F15" s="24" t="str">
        <f ca="1">IFERROR(__xludf.DUMMYFUNCTION("""COMPUTED_VALUE"""),"Моисеева Татьяна Владимировна")</f>
        <v>Моисеева Татьяна Владимировна</v>
      </c>
      <c r="G15" s="20">
        <v>1</v>
      </c>
      <c r="H15" s="20">
        <v>2</v>
      </c>
      <c r="I15" s="20">
        <v>1</v>
      </c>
      <c r="J15" s="20">
        <v>1</v>
      </c>
      <c r="K15" s="20">
        <v>0</v>
      </c>
      <c r="L15" s="20">
        <v>0</v>
      </c>
      <c r="M15" s="20">
        <v>0</v>
      </c>
      <c r="N15" s="20">
        <v>2</v>
      </c>
      <c r="O15" s="20">
        <v>0</v>
      </c>
      <c r="P15" s="20">
        <v>0</v>
      </c>
      <c r="Q15" s="20">
        <v>2</v>
      </c>
      <c r="R15" s="20">
        <v>0</v>
      </c>
      <c r="S15" s="20">
        <v>0</v>
      </c>
      <c r="T15" s="20">
        <v>1</v>
      </c>
      <c r="U15" s="20">
        <v>1</v>
      </c>
      <c r="V15" s="20"/>
      <c r="W15" s="20"/>
      <c r="X15" s="20"/>
      <c r="Y15" s="20">
        <f>SUM(G15:U15)</f>
        <v>11</v>
      </c>
      <c r="Z15" s="20"/>
      <c r="AA15" s="19">
        <f>Y15</f>
        <v>11</v>
      </c>
      <c r="AB15" s="20">
        <v>9</v>
      </c>
      <c r="AC15" s="19"/>
    </row>
    <row r="16" spans="1:29" ht="12.75">
      <c r="A16" s="21">
        <v>10</v>
      </c>
      <c r="B16" s="24" t="str">
        <f ca="1">IFERROR(__xludf.DUMMYFUNCTION("""COMPUTED_VALUE"""),"Щербакова Виктория Валерьевна")</f>
        <v>Щербакова Виктория Валерьевна</v>
      </c>
      <c r="C16" s="24">
        <v>1004</v>
      </c>
      <c r="D16" s="76" t="s">
        <v>92</v>
      </c>
      <c r="E16" s="20">
        <f ca="1">IFERROR(__xludf.DUMMYFUNCTION("""COMPUTED_VALUE"""),10)</f>
        <v>10</v>
      </c>
      <c r="F16" s="24" t="str">
        <f ca="1">IFERROR(__xludf.DUMMYFUNCTION("""COMPUTED_VALUE"""),"Моисеева Татьяна Владимировна")</f>
        <v>Моисеева Татьяна Владимировна</v>
      </c>
      <c r="G16" s="20">
        <v>2</v>
      </c>
      <c r="H16" s="20">
        <v>1</v>
      </c>
      <c r="I16" s="20">
        <v>0</v>
      </c>
      <c r="J16" s="20">
        <v>0</v>
      </c>
      <c r="K16" s="20">
        <v>0</v>
      </c>
      <c r="L16" s="20">
        <v>1</v>
      </c>
      <c r="M16" s="20">
        <v>1</v>
      </c>
      <c r="N16" s="20">
        <v>0</v>
      </c>
      <c r="O16" s="20">
        <v>2</v>
      </c>
      <c r="P16" s="20">
        <v>0</v>
      </c>
      <c r="Q16" s="20">
        <v>2</v>
      </c>
      <c r="R16" s="20">
        <v>0</v>
      </c>
      <c r="S16" s="20">
        <v>1</v>
      </c>
      <c r="T16" s="20">
        <v>0</v>
      </c>
      <c r="U16" s="20">
        <v>1</v>
      </c>
      <c r="V16" s="20"/>
      <c r="W16" s="20"/>
      <c r="X16" s="20"/>
      <c r="Y16" s="20">
        <f>SUM(G16:U16)</f>
        <v>11</v>
      </c>
      <c r="Z16" s="20"/>
      <c r="AA16" s="19">
        <f>Y16</f>
        <v>11</v>
      </c>
      <c r="AB16" s="19">
        <v>10</v>
      </c>
      <c r="AC16" s="19"/>
    </row>
    <row r="17" spans="1:29" ht="12.75">
      <c r="A17" s="21">
        <v>11</v>
      </c>
      <c r="B17" s="24" t="str">
        <f ca="1">IFERROR(__xludf.DUMMYFUNCTION("""COMPUTED_VALUE"""),"Маличенко София Владиславовна")</f>
        <v>Маличенко София Владиславовна</v>
      </c>
      <c r="C17" s="24">
        <v>1009</v>
      </c>
      <c r="D17" s="76" t="s">
        <v>94</v>
      </c>
      <c r="E17" s="20">
        <f ca="1">IFERROR(__xludf.DUMMYFUNCTION("""COMPUTED_VALUE"""),10)</f>
        <v>10</v>
      </c>
      <c r="F17" s="24" t="str">
        <f ca="1">IFERROR(__xludf.DUMMYFUNCTION("""COMPUTED_VALUE"""),"Чермашенцева Анжела Сергеевна")</f>
        <v>Чермашенцева Анжела Сергеевна</v>
      </c>
      <c r="G17" s="20">
        <v>2</v>
      </c>
      <c r="H17" s="20">
        <v>2</v>
      </c>
      <c r="I17" s="20">
        <v>3</v>
      </c>
      <c r="J17" s="20">
        <v>1</v>
      </c>
      <c r="K17" s="20">
        <v>0</v>
      </c>
      <c r="L17" s="20">
        <v>0</v>
      </c>
      <c r="M17" s="20">
        <v>0</v>
      </c>
      <c r="N17" s="20">
        <v>0</v>
      </c>
      <c r="O17" s="20">
        <v>2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1</v>
      </c>
      <c r="V17" s="20"/>
      <c r="W17" s="20"/>
      <c r="X17" s="20"/>
      <c r="Y17" s="20">
        <f>SUM(G17:U17)</f>
        <v>11</v>
      </c>
      <c r="Z17" s="20"/>
      <c r="AA17" s="19">
        <f>Y17</f>
        <v>11</v>
      </c>
      <c r="AB17" s="20">
        <v>11</v>
      </c>
      <c r="AC17" s="19"/>
    </row>
    <row r="18" spans="1:29" ht="12.75">
      <c r="A18" s="21">
        <v>12</v>
      </c>
      <c r="B18" s="25" t="str">
        <f ca="1">IFERROR(__xludf.DUMMYFUNCTION("IMPORTRANGE(""https://docs.google.com/spreadsheets/d/16CWr8ky6L0i1S4UOLMYHizeHS6aZnIDEnQPyRJyTpcI/edit#gid=0"", ""СОШ №24!B28:O32"")"),"Ахметгалиева Анастасия Романовна")</f>
        <v>Ахметгалиева Анастасия Романовна</v>
      </c>
      <c r="C18" s="24">
        <v>1001</v>
      </c>
      <c r="D18" s="76" t="s">
        <v>92</v>
      </c>
      <c r="E18" s="20">
        <f ca="1">IFERROR(__xludf.DUMMYFUNCTION("""COMPUTED_VALUE"""),10)</f>
        <v>10</v>
      </c>
      <c r="F18" s="24" t="str">
        <f ca="1">IFERROR(__xludf.DUMMYFUNCTION("""COMPUTED_VALUE"""),"Моисеева Татьяна Владимировна")</f>
        <v>Моисеева Татьяна Владимировна</v>
      </c>
      <c r="G18" s="20">
        <v>1</v>
      </c>
      <c r="H18" s="20">
        <v>1</v>
      </c>
      <c r="I18" s="20">
        <v>0</v>
      </c>
      <c r="J18" s="20">
        <v>0</v>
      </c>
      <c r="K18" s="20">
        <v>1</v>
      </c>
      <c r="L18" s="20">
        <v>1</v>
      </c>
      <c r="M18" s="20">
        <v>1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1</v>
      </c>
      <c r="T18" s="20">
        <v>2</v>
      </c>
      <c r="U18" s="20">
        <v>1</v>
      </c>
      <c r="V18" s="20"/>
      <c r="W18" s="20"/>
      <c r="X18" s="20"/>
      <c r="Y18" s="20">
        <f>SUM(G18:U18)</f>
        <v>10</v>
      </c>
      <c r="Z18" s="19"/>
      <c r="AA18" s="19">
        <f>Y18</f>
        <v>10</v>
      </c>
      <c r="AB18" s="20">
        <v>12</v>
      </c>
      <c r="AC18" s="19"/>
    </row>
    <row r="19" spans="1:29" ht="12.75">
      <c r="A19" s="21">
        <v>13</v>
      </c>
      <c r="B19" s="24" t="str">
        <f ca="1">IFERROR(__xludf.DUMMYFUNCTION("""COMPUTED_VALUE"""),"Зоря Мария Дмитриевна")</f>
        <v>Зоря Мария Дмитриевна</v>
      </c>
      <c r="C19" s="24">
        <v>1002</v>
      </c>
      <c r="D19" s="76" t="s">
        <v>92</v>
      </c>
      <c r="E19" s="20">
        <f ca="1">IFERROR(__xludf.DUMMYFUNCTION("""COMPUTED_VALUE"""),10)</f>
        <v>10</v>
      </c>
      <c r="F19" s="24" t="str">
        <f ca="1">IFERROR(__xludf.DUMMYFUNCTION("""COMPUTED_VALUE"""),"Моисеева Татьяна Владимировна")</f>
        <v>Моисеева Татьяна Владимировна</v>
      </c>
      <c r="G19" s="20">
        <v>1</v>
      </c>
      <c r="H19" s="20">
        <v>2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2</v>
      </c>
      <c r="P19" s="20">
        <v>0</v>
      </c>
      <c r="Q19" s="20">
        <v>0</v>
      </c>
      <c r="R19" s="20">
        <v>0</v>
      </c>
      <c r="S19" s="20">
        <v>1</v>
      </c>
      <c r="T19" s="20">
        <v>2</v>
      </c>
      <c r="U19" s="20">
        <v>1</v>
      </c>
      <c r="V19" s="20"/>
      <c r="W19" s="20"/>
      <c r="X19" s="20"/>
      <c r="Y19" s="20">
        <f>SUM(G19:U19)</f>
        <v>9</v>
      </c>
      <c r="Z19" s="20"/>
      <c r="AA19" s="19">
        <f>Y19</f>
        <v>9</v>
      </c>
      <c r="AB19" s="19">
        <v>13</v>
      </c>
      <c r="AC19" s="19"/>
    </row>
    <row r="20" spans="1:29" ht="12.75">
      <c r="A20" s="21">
        <v>14</v>
      </c>
      <c r="B20" s="24" t="str">
        <f ca="1">IFERROR(__xludf.DUMMYFUNCTION("""COMPUTED_VALUE"""),"Юсифов Натиг Вугарович")</f>
        <v>Юсифов Натиг Вугарович</v>
      </c>
      <c r="C20" s="24">
        <v>1006</v>
      </c>
      <c r="D20" s="24" t="str">
        <f ca="1">IFERROR(__xludf.DUMMYFUNCTION("""COMPUTED_VALUE"""),"МОУ ""СОШ №19""")</f>
        <v>МОУ "СОШ №19"</v>
      </c>
      <c r="E20" s="20">
        <f ca="1">IFERROR(__xludf.DUMMYFUNCTION("""COMPUTED_VALUE"""),10)</f>
        <v>10</v>
      </c>
      <c r="F20" s="24" t="str">
        <f ca="1">IFERROR(__xludf.DUMMYFUNCTION("""COMPUTED_VALUE"""),"Карташова Анна Александровна")</f>
        <v>Карташова Анна Александровна</v>
      </c>
      <c r="G20" s="20">
        <v>0</v>
      </c>
      <c r="H20" s="20">
        <v>1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</v>
      </c>
      <c r="O20" s="20">
        <v>0</v>
      </c>
      <c r="P20" s="20">
        <v>0</v>
      </c>
      <c r="Q20" s="20">
        <v>1</v>
      </c>
      <c r="R20" s="20">
        <v>2</v>
      </c>
      <c r="S20" s="20">
        <v>1</v>
      </c>
      <c r="T20" s="20">
        <v>0</v>
      </c>
      <c r="U20" s="20">
        <v>1</v>
      </c>
      <c r="V20" s="20"/>
      <c r="W20" s="20"/>
      <c r="X20" s="20"/>
      <c r="Y20" s="20">
        <f>SUM(G20:U20)</f>
        <v>7</v>
      </c>
      <c r="Z20" s="20"/>
      <c r="AA20" s="19">
        <f>Y20</f>
        <v>7</v>
      </c>
      <c r="AB20" s="20">
        <v>14</v>
      </c>
      <c r="AC20" s="19"/>
    </row>
    <row r="21" spans="1:29" ht="12.75">
      <c r="A21" s="21">
        <v>15</v>
      </c>
      <c r="B21" s="25" t="str">
        <f ca="1">IFERROR(__xludf.DUMMYFUNCTION("IMPORTRANGE(""https://docs.google.com/spreadsheets/d/16CWr8ky6L0i1S4UOLMYHizeHS6aZnIDEnQPyRJyTpcI/edit#gid=0"", ""СОШ п. Новопушкинское!B28:O32"")"),"Стегалкина Анастасия Васильевна")</f>
        <v>Стегалкина Анастасия Васильевна</v>
      </c>
      <c r="C21" s="22">
        <v>1008</v>
      </c>
      <c r="D21" s="22" t="str">
        <f ca="1">IFERROR(__xludf.DUMMYFUNCTION("""COMPUTED_VALUE"""),"МОУ ""СОШ п. Новопушкинское""")</f>
        <v>МОУ "СОШ п. Новопушкинское"</v>
      </c>
      <c r="E21" s="19">
        <f ca="1">IFERROR(__xludf.DUMMYFUNCTION("""COMPUTED_VALUE"""),10)</f>
        <v>10</v>
      </c>
      <c r="F21" s="22" t="str">
        <f ca="1">IFERROR(__xludf.DUMMYFUNCTION("""COMPUTED_VALUE"""),"Юшенова лариса Николаевна")</f>
        <v>Юшенова лариса Николаевна</v>
      </c>
      <c r="G21" s="20">
        <v>1</v>
      </c>
      <c r="H21" s="20">
        <v>2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1</v>
      </c>
      <c r="T21" s="20">
        <v>1</v>
      </c>
      <c r="U21" s="20">
        <v>0</v>
      </c>
      <c r="V21" s="20"/>
      <c r="W21" s="20"/>
      <c r="X21" s="20"/>
      <c r="Y21" s="20">
        <f>SUM(G21:U21)</f>
        <v>6</v>
      </c>
      <c r="Z21" s="20"/>
      <c r="AA21" s="19">
        <f>Y21</f>
        <v>6</v>
      </c>
      <c r="AB21" s="20">
        <v>15</v>
      </c>
      <c r="AC21" s="19"/>
    </row>
    <row r="22" spans="1:29" ht="12.75">
      <c r="A22" s="21">
        <v>16</v>
      </c>
      <c r="B22" s="25" t="str">
        <f ca="1">IFERROR(__xludf.DUMMYFUNCTION("IMPORTRANGE(""https://docs.google.com/spreadsheets/d/16CWr8ky6L0i1S4UOLMYHizeHS6aZnIDEnQPyRJyTpcI/edit#gid=0"", ""Нов. век!B27:O27"")"),"Геворгян Артур Меружанович")</f>
        <v>Геворгян Артур Меружанович</v>
      </c>
      <c r="C22" s="22"/>
      <c r="D22" s="76" t="s">
        <v>90</v>
      </c>
      <c r="E22" s="19">
        <f ca="1">IFERROR(__xludf.DUMMYFUNCTION("""COMPUTED_VALUE"""),10)</f>
        <v>10</v>
      </c>
      <c r="F22" s="22" t="str">
        <f ca="1">IFERROR(__xludf.DUMMYFUNCTION("""COMPUTED_VALUE"""),"Мищенко Ирина Николаевна")</f>
        <v>Мищенко Ирина Николаевна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9"/>
      <c r="AB22" s="19"/>
      <c r="AC22" s="19"/>
    </row>
    <row r="23" spans="1:29" ht="12.75">
      <c r="A23" s="21">
        <v>17</v>
      </c>
      <c r="B23" s="24" t="str">
        <f ca="1">IFERROR(__xludf.DUMMYFUNCTION("""COMPUTED_VALUE"""),"Додыченко Александр Александрович")</f>
        <v>Додыченко Александр Александрович</v>
      </c>
      <c r="C23" s="24"/>
      <c r="D23" s="76" t="s">
        <v>88</v>
      </c>
      <c r="E23" s="20">
        <f ca="1">IFERROR(__xludf.DUMMYFUNCTION("""COMPUTED_VALUE"""),10)</f>
        <v>10</v>
      </c>
      <c r="F23" s="24" t="str">
        <f ca="1">IFERROR(__xludf.DUMMYFUNCTION("""COMPUTED_VALUE"""),"Новинкина Светлана Габдулловна")</f>
        <v>Новинкина Светлана Габдулловна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9"/>
      <c r="AB23" s="20"/>
      <c r="AC23" s="19"/>
    </row>
    <row r="24" spans="1:29" ht="12.75">
      <c r="A24" s="21">
        <v>18</v>
      </c>
      <c r="B24" s="25" t="str">
        <f ca="1">IFERROR(__xludf.DUMMYFUNCTION("IMPORTRANGE(""https://docs.google.com/spreadsheets/d/16CWr8ky6L0i1S4UOLMYHizeHS6aZnIDEnQPyRJyTpcI/edit#gid=0"", ""Патриот!B28:O32"")"),"Емельянов Александр Александрович")</f>
        <v>Емельянов Александр Александрович</v>
      </c>
      <c r="C24" s="24"/>
      <c r="D24" s="76" t="s">
        <v>88</v>
      </c>
      <c r="E24" s="20">
        <f ca="1">IFERROR(__xludf.DUMMYFUNCTION("""COMPUTED_VALUE"""),10)</f>
        <v>10</v>
      </c>
      <c r="F24" s="24" t="str">
        <f ca="1">IFERROR(__xludf.DUMMYFUNCTION("""COMPUTED_VALUE"""),"Новинкина Светлана Габдулловна")</f>
        <v>Новинкина Светлана Габдулловна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9"/>
      <c r="AB24" s="20"/>
      <c r="AC24" s="19"/>
    </row>
    <row r="25" spans="1:29" ht="12.75">
      <c r="A25" s="21">
        <v>19</v>
      </c>
      <c r="B25" s="24" t="str">
        <f ca="1">IFERROR(__xludf.DUMMYFUNCTION("IMPORTRANGE(""https://docs.google.com/spreadsheets/d/16CWr8ky6L0i1S4UOLMYHizeHS6aZnIDEnQPyRJyTpcI/edit#gid=0"", ""СОШ №33!B28:O32"")"),"Козаченко Виктория Ивановна")</f>
        <v>Козаченко Виктория Ивановна</v>
      </c>
      <c r="C25" s="24"/>
      <c r="D25" s="76" t="s">
        <v>94</v>
      </c>
      <c r="E25" s="20">
        <f ca="1">IFERROR(__xludf.DUMMYFUNCTION("""COMPUTED_VALUE"""),10)</f>
        <v>10</v>
      </c>
      <c r="F25" s="24" t="str">
        <f ca="1">IFERROR(__xludf.DUMMYFUNCTION("""COMPUTED_VALUE"""),"Чермашенцева Анжела Сергеевна")</f>
        <v>Чермашенцева Анжела Сергеевна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0"/>
      <c r="Z25" s="19"/>
      <c r="AA25" s="19"/>
      <c r="AB25" s="19"/>
      <c r="AC25" s="19"/>
    </row>
    <row r="26" spans="1:29" ht="12.75">
      <c r="A26" s="21">
        <v>20</v>
      </c>
      <c r="B26" s="24" t="str">
        <f ca="1">IFERROR(__xludf.DUMMYFUNCTION("""COMPUTED_VALUE"""),"Колесникова Валерия Васильевна")</f>
        <v>Колесникова Валерия Васильевна</v>
      </c>
      <c r="C26" s="24"/>
      <c r="D26" s="76" t="s">
        <v>88</v>
      </c>
      <c r="E26" s="20">
        <f ca="1">IFERROR(__xludf.DUMMYFUNCTION("""COMPUTED_VALUE"""),10)</f>
        <v>10</v>
      </c>
      <c r="F26" s="24" t="str">
        <f ca="1">IFERROR(__xludf.DUMMYFUNCTION("""COMPUTED_VALUE"""),"Новинкина Светлана Габдулловна")</f>
        <v>Новинкина Светлана Габдулловна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9"/>
      <c r="AB26" s="20"/>
      <c r="AC26" s="19"/>
    </row>
    <row r="27" spans="1:29" ht="12.75">
      <c r="A27" s="21">
        <v>21</v>
      </c>
      <c r="B27" s="24" t="str">
        <f ca="1">IFERROR(__xludf.DUMMYFUNCTION("""COMPUTED_VALUE"""),"Фомина Юлия Олеговна")</f>
        <v>Фомина Юлия Олеговна</v>
      </c>
      <c r="C27" s="24"/>
      <c r="D27" s="76" t="s">
        <v>93</v>
      </c>
      <c r="E27" s="20">
        <f ca="1">IFERROR(__xludf.DUMMYFUNCTION("""COMPUTED_VALUE"""),10)</f>
        <v>10</v>
      </c>
      <c r="F27" s="24" t="str">
        <f ca="1">IFERROR(__xludf.DUMMYFUNCTION("""COMPUTED_VALUE"""),"Шевченко Татьяна Петровна")</f>
        <v>Шевченко Татьяна Петровна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9"/>
      <c r="AB27" s="20"/>
      <c r="AC27" s="19"/>
    </row>
    <row r="28" spans="1:29" ht="12" customHeight="1">
      <c r="A28" s="21">
        <v>22</v>
      </c>
      <c r="B28" s="24" t="str">
        <f ca="1">IFERROR(__xludf.DUMMYFUNCTION("IMPORTRANGE(""https://docs.google.com/spreadsheets/d/16CWr8ky6L0i1S4UOLMYHizeHS6aZnIDEnQPyRJyTpcI/edit#gid=0"", ""СОШ №5!B28:O32"")"),"Шагера Владимир Дмитриевич")</f>
        <v>Шагера Владимир Дмитриевич</v>
      </c>
      <c r="C28" s="24"/>
      <c r="D28" s="76" t="s">
        <v>95</v>
      </c>
      <c r="E28" s="20">
        <f ca="1">IFERROR(__xludf.DUMMYFUNCTION("""COMPUTED_VALUE"""),10)</f>
        <v>10</v>
      </c>
      <c r="F28" s="24" t="str">
        <f ca="1">IFERROR(__xludf.DUMMYFUNCTION("""COMPUTED_VALUE"""),"Мешкова Екатерина Олеговна")</f>
        <v>Мешкова Екатерина Олеговна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19"/>
      <c r="AA28" s="19"/>
      <c r="AB28" s="19"/>
      <c r="AC28" s="19"/>
    </row>
    <row r="29" spans="1:29" ht="15.75" customHeight="1">
      <c r="B29" s="47" t="s">
        <v>87</v>
      </c>
    </row>
    <row r="30" spans="1:29" ht="15.75" customHeight="1">
      <c r="B30" s="47" t="s">
        <v>79</v>
      </c>
    </row>
    <row r="31" spans="1:29" ht="15.75" customHeight="1">
      <c r="B31" s="47" t="s">
        <v>80</v>
      </c>
    </row>
    <row r="32" spans="1:29" ht="15.75" customHeight="1">
      <c r="B32" s="47" t="s">
        <v>83</v>
      </c>
    </row>
    <row r="33" spans="2:2" ht="15.75" customHeight="1">
      <c r="B33" s="47" t="s">
        <v>81</v>
      </c>
    </row>
    <row r="34" spans="2:2" ht="15.75" customHeight="1">
      <c r="B34" s="47" t="s">
        <v>84</v>
      </c>
    </row>
    <row r="35" spans="2:2" ht="15.75" customHeight="1">
      <c r="B35" s="47" t="s">
        <v>82</v>
      </c>
    </row>
    <row r="36" spans="2:2" ht="15.75" customHeight="1">
      <c r="B36" s="47" t="s">
        <v>85</v>
      </c>
    </row>
    <row r="37" spans="2:2" ht="15.75" customHeight="1">
      <c r="B37" s="48" t="s">
        <v>86</v>
      </c>
    </row>
  </sheetData>
  <sortState ref="B7:AA21">
    <sortCondition descending="1" ref="AA7:AA21"/>
  </sortState>
  <mergeCells count="6">
    <mergeCell ref="A2:AB2"/>
    <mergeCell ref="A3:AB3"/>
    <mergeCell ref="A4:AB4"/>
    <mergeCell ref="C5:C6"/>
    <mergeCell ref="G5:V5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C42"/>
  <sheetViews>
    <sheetView zoomScale="80" zoomScaleNormal="80" workbookViewId="0">
      <selection activeCell="AF17" sqref="AF17"/>
    </sheetView>
  </sheetViews>
  <sheetFormatPr defaultColWidth="14.42578125" defaultRowHeight="15.75" customHeight="1"/>
  <cols>
    <col min="1" max="1" width="7" customWidth="1"/>
    <col min="2" max="2" width="33.85546875" customWidth="1"/>
    <col min="3" max="3" width="14.28515625" customWidth="1"/>
    <col min="4" max="4" width="35.5703125" customWidth="1"/>
    <col min="5" max="5" width="9.85546875" customWidth="1"/>
    <col min="6" max="6" width="32.85546875" customWidth="1"/>
    <col min="7" max="21" width="8.7109375" customWidth="1"/>
    <col min="22" max="24" width="10.85546875" hidden="1" customWidth="1"/>
    <col min="25" max="25" width="14.85546875" customWidth="1"/>
    <col min="27" max="27" width="10.140625" customWidth="1"/>
    <col min="28" max="28" width="10.85546875" customWidth="1"/>
    <col min="29" max="29" width="20.42578125" customWidth="1"/>
  </cols>
  <sheetData>
    <row r="2" spans="1:29" ht="15.75" customHeight="1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12"/>
    </row>
    <row r="3" spans="1:29" ht="15.75" customHeight="1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26"/>
    </row>
    <row r="4" spans="1:29" ht="15.75" customHeight="1">
      <c r="A4" s="58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6"/>
    </row>
    <row r="5" spans="1:29" ht="12.75" customHeight="1">
      <c r="A5" s="53" t="s">
        <v>0</v>
      </c>
      <c r="B5" s="53" t="s">
        <v>1</v>
      </c>
      <c r="C5" s="55" t="s">
        <v>2</v>
      </c>
      <c r="D5" s="77" t="s">
        <v>3</v>
      </c>
      <c r="E5" s="66" t="s">
        <v>4</v>
      </c>
      <c r="F5" s="55" t="s">
        <v>5</v>
      </c>
      <c r="G5" s="52" t="s">
        <v>6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41"/>
      <c r="X5" s="13"/>
      <c r="Y5" s="27" t="s">
        <v>11</v>
      </c>
      <c r="Z5" s="27" t="s">
        <v>7</v>
      </c>
      <c r="AA5" s="27" t="s">
        <v>8</v>
      </c>
      <c r="AB5" s="34" t="s">
        <v>9</v>
      </c>
      <c r="AC5" s="44" t="s">
        <v>10</v>
      </c>
    </row>
    <row r="6" spans="1:29" ht="12.75">
      <c r="A6" s="54"/>
      <c r="B6" s="54"/>
      <c r="C6" s="56"/>
      <c r="D6" s="77"/>
      <c r="E6" s="67"/>
      <c r="F6" s="56"/>
      <c r="G6" s="39" t="s">
        <v>53</v>
      </c>
      <c r="H6" s="39" t="s">
        <v>54</v>
      </c>
      <c r="I6" s="39" t="s">
        <v>55</v>
      </c>
      <c r="J6" s="39" t="s">
        <v>56</v>
      </c>
      <c r="K6" s="39" t="s">
        <v>57</v>
      </c>
      <c r="L6" s="39" t="s">
        <v>58</v>
      </c>
      <c r="M6" s="39" t="s">
        <v>59</v>
      </c>
      <c r="N6" s="39" t="s">
        <v>60</v>
      </c>
      <c r="O6" s="39" t="s">
        <v>61</v>
      </c>
      <c r="P6" s="39" t="s">
        <v>62</v>
      </c>
      <c r="Q6" s="40" t="s">
        <v>63</v>
      </c>
      <c r="R6" s="40" t="s">
        <v>64</v>
      </c>
      <c r="S6" s="40" t="s">
        <v>65</v>
      </c>
      <c r="T6" s="40" t="s">
        <v>66</v>
      </c>
      <c r="U6" s="40" t="s">
        <v>67</v>
      </c>
      <c r="V6" s="40"/>
      <c r="W6" s="45"/>
      <c r="X6" s="31"/>
      <c r="Y6" s="31" t="s">
        <v>68</v>
      </c>
      <c r="Z6" s="31"/>
      <c r="AA6" s="31"/>
      <c r="AB6" s="35"/>
      <c r="AC6" s="29"/>
    </row>
    <row r="7" spans="1:29" ht="12.75">
      <c r="A7" s="20">
        <v>1</v>
      </c>
      <c r="B7" s="15" t="str">
        <f ca="1">IFERROR(__xludf.DUMMYFUNCTION("IMPORTRANGE(""https://docs.google.com/spreadsheets/d/16CWr8ky6L0i1S4UOLMYHizeHS6aZnIDEnQPyRJyTpcI/edit#gid=0"", ""СОШ №19!B33:O37"")"),"Туралиева Айжана Кикбаевна")</f>
        <v>Туралиева Айжана Кикбаевна</v>
      </c>
      <c r="C7" s="70">
        <v>1117</v>
      </c>
      <c r="D7" s="80" t="str">
        <f ca="1">IFERROR(__xludf.DUMMYFUNCTION("""COMPUTED_VALUE"""),"МОУ ""СОШ №19""")</f>
        <v>МОУ "СОШ №19"</v>
      </c>
      <c r="E7" s="68">
        <f ca="1">IFERROR(__xludf.DUMMYFUNCTION("""COMPUTED_VALUE"""),11)</f>
        <v>11</v>
      </c>
      <c r="F7" s="15" t="str">
        <f ca="1">IFERROR(__xludf.DUMMYFUNCTION("""COMPUTED_VALUE"""),"Карташова Анна Александровна")</f>
        <v>Карташова Анна Александровна</v>
      </c>
      <c r="G7" s="20">
        <v>4</v>
      </c>
      <c r="H7" s="20">
        <v>3</v>
      </c>
      <c r="I7" s="20">
        <v>6</v>
      </c>
      <c r="J7" s="20">
        <v>6</v>
      </c>
      <c r="K7" s="20">
        <v>4</v>
      </c>
      <c r="L7" s="20">
        <v>6</v>
      </c>
      <c r="M7" s="20">
        <v>2</v>
      </c>
      <c r="N7" s="20">
        <v>5</v>
      </c>
      <c r="O7" s="20">
        <v>5</v>
      </c>
      <c r="P7" s="20">
        <v>6</v>
      </c>
      <c r="Q7" s="20">
        <v>5</v>
      </c>
      <c r="R7" s="20">
        <v>3</v>
      </c>
      <c r="S7" s="20">
        <v>2</v>
      </c>
      <c r="T7" s="20">
        <v>5</v>
      </c>
      <c r="U7" s="20">
        <v>2</v>
      </c>
      <c r="V7" s="20"/>
      <c r="W7" s="20"/>
      <c r="X7" s="20"/>
      <c r="Y7" s="20">
        <f>SUM(G7:U7)</f>
        <v>64</v>
      </c>
      <c r="Z7" s="16"/>
      <c r="AA7" s="20">
        <f>Y7</f>
        <v>64</v>
      </c>
      <c r="AB7" s="20">
        <v>1</v>
      </c>
      <c r="AC7" s="20"/>
    </row>
    <row r="8" spans="1:29" ht="12.75">
      <c r="A8" s="20">
        <v>2</v>
      </c>
      <c r="B8" s="15" t="str">
        <f ca="1">IFERROR(__xludf.DUMMYFUNCTION("""COMPUTED_VALUE"""),"Соколова Елизавета Вадимовна")</f>
        <v>Соколова Елизавета Вадимовна</v>
      </c>
      <c r="C8" s="70">
        <v>1116</v>
      </c>
      <c r="D8" s="80" t="str">
        <f ca="1">IFERROR(__xludf.DUMMYFUNCTION("""COMPUTED_VALUE"""),"МОУ ""СОШ №19""")</f>
        <v>МОУ "СОШ №19"</v>
      </c>
      <c r="E8" s="68">
        <f ca="1">IFERROR(__xludf.DUMMYFUNCTION("""COMPUTED_VALUE"""),11)</f>
        <v>11</v>
      </c>
      <c r="F8" s="15" t="str">
        <f ca="1">IFERROR(__xludf.DUMMYFUNCTION("""COMPUTED_VALUE"""),"Карташова Анна Александровна")</f>
        <v>Карташова Анна Александровна</v>
      </c>
      <c r="G8" s="19">
        <v>3</v>
      </c>
      <c r="H8" s="19">
        <v>4</v>
      </c>
      <c r="I8" s="19">
        <v>6</v>
      </c>
      <c r="J8" s="19">
        <v>3</v>
      </c>
      <c r="K8" s="19">
        <v>8</v>
      </c>
      <c r="L8" s="19">
        <v>4</v>
      </c>
      <c r="M8" s="19">
        <v>1</v>
      </c>
      <c r="N8" s="19">
        <v>2</v>
      </c>
      <c r="O8" s="19">
        <v>4</v>
      </c>
      <c r="P8" s="19">
        <v>3</v>
      </c>
      <c r="Q8" s="19">
        <v>4</v>
      </c>
      <c r="R8" s="19">
        <v>3</v>
      </c>
      <c r="S8" s="19">
        <v>1</v>
      </c>
      <c r="T8" s="19">
        <v>4</v>
      </c>
      <c r="U8" s="19">
        <v>2</v>
      </c>
      <c r="V8" s="19"/>
      <c r="W8" s="19"/>
      <c r="X8" s="19"/>
      <c r="Y8" s="20">
        <f>SUM(G8:U8)</f>
        <v>52</v>
      </c>
      <c r="Z8" s="16"/>
      <c r="AA8" s="20">
        <f>Y8</f>
        <v>52</v>
      </c>
      <c r="AB8" s="20">
        <v>2</v>
      </c>
      <c r="AC8" s="20"/>
    </row>
    <row r="9" spans="1:29" ht="12.75">
      <c r="A9" s="20">
        <v>3</v>
      </c>
      <c r="B9" s="15" t="str">
        <f ca="1">IFERROR(__xludf.DUMMYFUNCTION("IMPORTRANGE(""https://docs.google.com/spreadsheets/d/16CWr8ky6L0i1S4UOLMYHizeHS6aZnIDEnQPyRJyTpcI/edit#gid=0"", ""СОШ №33!B33:O37"")"),"Попова Снежана Витальевна")</f>
        <v>Попова Снежана Витальевна</v>
      </c>
      <c r="C9" s="70">
        <v>1114</v>
      </c>
      <c r="D9" s="78" t="s">
        <v>94</v>
      </c>
      <c r="E9" s="68">
        <f ca="1">IFERROR(__xludf.DUMMYFUNCTION("""COMPUTED_VALUE"""),11)</f>
        <v>11</v>
      </c>
      <c r="F9" s="15" t="str">
        <f ca="1">IFERROR(__xludf.DUMMYFUNCTION("""COMPUTED_VALUE"""),"Чермашенцева Анжела Сергеевна")</f>
        <v>Чермашенцева Анжела Сергеевна</v>
      </c>
      <c r="G9" s="20">
        <v>4</v>
      </c>
      <c r="H9" s="20">
        <v>3</v>
      </c>
      <c r="I9" s="20">
        <v>5</v>
      </c>
      <c r="J9" s="20">
        <v>5</v>
      </c>
      <c r="K9" s="20">
        <v>4</v>
      </c>
      <c r="L9" s="20">
        <v>6</v>
      </c>
      <c r="M9" s="20">
        <v>2</v>
      </c>
      <c r="N9" s="20">
        <v>5</v>
      </c>
      <c r="O9" s="20">
        <v>5</v>
      </c>
      <c r="P9" s="20">
        <v>3</v>
      </c>
      <c r="Q9" s="20">
        <v>2</v>
      </c>
      <c r="R9" s="20">
        <v>2</v>
      </c>
      <c r="S9" s="20">
        <v>1</v>
      </c>
      <c r="T9" s="20">
        <v>2</v>
      </c>
      <c r="U9" s="20">
        <v>2</v>
      </c>
      <c r="V9" s="20"/>
      <c r="W9" s="20"/>
      <c r="X9" s="20"/>
      <c r="Y9" s="20">
        <f>SUM(G9:U9)</f>
        <v>51</v>
      </c>
      <c r="Z9" s="15"/>
      <c r="AA9" s="20">
        <f>Y9</f>
        <v>51</v>
      </c>
      <c r="AB9" s="20">
        <v>3</v>
      </c>
      <c r="AC9" s="20"/>
    </row>
    <row r="10" spans="1:29" ht="12.75">
      <c r="A10" s="19">
        <v>4</v>
      </c>
      <c r="B10" s="16" t="str">
        <f ca="1">IFERROR(__xludf.DUMMYFUNCTION("""COMPUTED_VALUE"""),"Цой Яна Сергеевна")</f>
        <v>Цой Яна Сергеевна</v>
      </c>
      <c r="C10" s="71">
        <v>1106</v>
      </c>
      <c r="D10" s="78" t="s">
        <v>90</v>
      </c>
      <c r="E10" s="69">
        <f ca="1">IFERROR(__xludf.DUMMYFUNCTION("""COMPUTED_VALUE"""),11)</f>
        <v>11</v>
      </c>
      <c r="F10" s="16" t="str">
        <f ca="1">IFERROR(__xludf.DUMMYFUNCTION("""COMPUTED_VALUE"""),"Павлова Лариса Сергеевна")</f>
        <v>Павлова Лариса Сергеевна</v>
      </c>
      <c r="G10" s="19">
        <v>3</v>
      </c>
      <c r="H10" s="19">
        <v>3</v>
      </c>
      <c r="I10" s="19">
        <v>6</v>
      </c>
      <c r="J10" s="19">
        <v>6</v>
      </c>
      <c r="K10" s="19">
        <v>6</v>
      </c>
      <c r="L10" s="19">
        <v>5</v>
      </c>
      <c r="M10" s="19">
        <v>2</v>
      </c>
      <c r="N10" s="19">
        <v>3</v>
      </c>
      <c r="O10" s="19">
        <v>3</v>
      </c>
      <c r="P10" s="19">
        <v>1</v>
      </c>
      <c r="Q10" s="19">
        <v>6</v>
      </c>
      <c r="R10" s="19">
        <v>0</v>
      </c>
      <c r="S10" s="19">
        <v>0</v>
      </c>
      <c r="T10" s="19">
        <v>3</v>
      </c>
      <c r="U10" s="19">
        <v>1</v>
      </c>
      <c r="V10" s="19"/>
      <c r="W10" s="19"/>
      <c r="X10" s="19"/>
      <c r="Y10" s="20">
        <f>SUM(G10:U10)</f>
        <v>48</v>
      </c>
      <c r="Z10" s="16"/>
      <c r="AA10" s="20">
        <f>Y10</f>
        <v>48</v>
      </c>
      <c r="AB10" s="20">
        <v>4</v>
      </c>
      <c r="AC10" s="20"/>
    </row>
    <row r="11" spans="1:29" ht="12.75">
      <c r="A11" s="20">
        <v>5</v>
      </c>
      <c r="B11" s="16" t="str">
        <f ca="1">IFERROR(__xludf.DUMMYFUNCTION("""COMPUTED_VALUE"""),"Перепечай Валерия Андреевна")</f>
        <v>Перепечай Валерия Андреевна</v>
      </c>
      <c r="C11" s="71">
        <v>1102</v>
      </c>
      <c r="D11" s="78" t="s">
        <v>90</v>
      </c>
      <c r="E11" s="69">
        <f ca="1">IFERROR(__xludf.DUMMYFUNCTION("""COMPUTED_VALUE"""),11)</f>
        <v>11</v>
      </c>
      <c r="F11" s="16" t="str">
        <f ca="1">IFERROR(__xludf.DUMMYFUNCTION("""COMPUTED_VALUE"""),"Павлова Лариса Сергеевна")</f>
        <v>Павлова Лариса Сергеевна</v>
      </c>
      <c r="G11" s="20">
        <v>2</v>
      </c>
      <c r="H11" s="20">
        <v>6</v>
      </c>
      <c r="I11" s="20">
        <v>3</v>
      </c>
      <c r="J11" s="20">
        <v>6</v>
      </c>
      <c r="K11" s="20">
        <v>3</v>
      </c>
      <c r="L11" s="20">
        <v>4</v>
      </c>
      <c r="M11" s="20">
        <v>1</v>
      </c>
      <c r="N11" s="20">
        <v>2</v>
      </c>
      <c r="O11" s="20">
        <v>4</v>
      </c>
      <c r="P11" s="20">
        <v>3</v>
      </c>
      <c r="Q11" s="20">
        <v>4</v>
      </c>
      <c r="R11" s="20">
        <v>0</v>
      </c>
      <c r="S11" s="20">
        <v>1</v>
      </c>
      <c r="T11" s="20">
        <v>4</v>
      </c>
      <c r="U11" s="20">
        <v>0</v>
      </c>
      <c r="V11" s="20"/>
      <c r="W11" s="20"/>
      <c r="X11" s="20"/>
      <c r="Y11" s="20">
        <f>SUM(G11:U11)</f>
        <v>43</v>
      </c>
      <c r="Z11" s="15"/>
      <c r="AA11" s="20">
        <f>Y11</f>
        <v>43</v>
      </c>
      <c r="AB11" s="20">
        <v>5</v>
      </c>
      <c r="AC11" s="20"/>
    </row>
    <row r="12" spans="1:29" ht="12.75">
      <c r="A12" s="20">
        <v>6</v>
      </c>
      <c r="B12" s="16" t="str">
        <f ca="1">IFERROR(__xludf.DUMMYFUNCTION("""COMPUTED_VALUE"""),"Аубекерова Камила Азаматовна")</f>
        <v>Аубекерова Камила Азаматовна</v>
      </c>
      <c r="C12" s="71">
        <v>1104</v>
      </c>
      <c r="D12" s="78" t="s">
        <v>90</v>
      </c>
      <c r="E12" s="69">
        <f ca="1">IFERROR(__xludf.DUMMYFUNCTION("""COMPUTED_VALUE"""),11)</f>
        <v>11</v>
      </c>
      <c r="F12" s="16" t="str">
        <f ca="1">IFERROR(__xludf.DUMMYFUNCTION("""COMPUTED_VALUE"""),"Павлова Лариса Сергеевна")</f>
        <v>Павлова Лариса Сергеевна</v>
      </c>
      <c r="G12" s="19">
        <v>3</v>
      </c>
      <c r="H12" s="19">
        <v>3</v>
      </c>
      <c r="I12" s="19">
        <v>3</v>
      </c>
      <c r="J12" s="19">
        <v>6</v>
      </c>
      <c r="K12" s="19">
        <v>4</v>
      </c>
      <c r="L12" s="19">
        <v>3</v>
      </c>
      <c r="M12" s="19">
        <v>0</v>
      </c>
      <c r="N12" s="19">
        <v>5</v>
      </c>
      <c r="O12" s="19">
        <v>3</v>
      </c>
      <c r="P12" s="19">
        <v>3</v>
      </c>
      <c r="Q12" s="19">
        <v>2</v>
      </c>
      <c r="R12" s="19">
        <v>0</v>
      </c>
      <c r="S12" s="19">
        <v>1</v>
      </c>
      <c r="T12" s="19">
        <v>5</v>
      </c>
      <c r="U12" s="19">
        <v>0</v>
      </c>
      <c r="V12" s="19"/>
      <c r="W12" s="19"/>
      <c r="X12" s="19"/>
      <c r="Y12" s="20">
        <f>SUM(G12:U12)</f>
        <v>41</v>
      </c>
      <c r="Z12" s="16"/>
      <c r="AA12" s="20">
        <f>Y12</f>
        <v>41</v>
      </c>
      <c r="AB12" s="20">
        <v>6</v>
      </c>
      <c r="AC12" s="20"/>
    </row>
    <row r="13" spans="1:29" ht="12.75">
      <c r="A13" s="20">
        <v>7</v>
      </c>
      <c r="B13" s="15" t="str">
        <f ca="1">IFERROR(__xludf.DUMMYFUNCTION("IMPORTRANGE(""https://docs.google.com/spreadsheets/d/16CWr8ky6L0i1S4UOLMYHizeHS6aZnIDEnQPyRJyTpcI/edit#gid=0"", ""СОШ №31!B33:O37"")"),"Титкова Яна Олеговна")</f>
        <v>Титкова Яна Олеговна</v>
      </c>
      <c r="C13" s="70">
        <v>1118</v>
      </c>
      <c r="D13" s="80" t="str">
        <f ca="1">IFERROR(__xludf.DUMMYFUNCTION("""COMPUTED_VALUE"""),"МОУ ""СОШ №31""")</f>
        <v>МОУ "СОШ №31"</v>
      </c>
      <c r="E13" s="68">
        <f ca="1">IFERROR(__xludf.DUMMYFUNCTION("""COMPUTED_VALUE"""),11)</f>
        <v>11</v>
      </c>
      <c r="F13" s="15" t="str">
        <f ca="1">IFERROR(__xludf.DUMMYFUNCTION("""COMPUTED_VALUE"""),"Котлярова Евгения Владимировна")</f>
        <v>Котлярова Евгения Владимировна</v>
      </c>
      <c r="G13" s="20">
        <v>3</v>
      </c>
      <c r="H13" s="20">
        <v>3</v>
      </c>
      <c r="I13" s="20">
        <v>6</v>
      </c>
      <c r="J13" s="20">
        <v>4</v>
      </c>
      <c r="K13" s="20">
        <v>4</v>
      </c>
      <c r="L13" s="20">
        <v>6</v>
      </c>
      <c r="M13" s="20">
        <v>0</v>
      </c>
      <c r="N13" s="20">
        <v>0</v>
      </c>
      <c r="O13" s="20">
        <v>3</v>
      </c>
      <c r="P13" s="20">
        <v>4</v>
      </c>
      <c r="Q13" s="20">
        <v>4</v>
      </c>
      <c r="R13" s="20">
        <v>0</v>
      </c>
      <c r="S13" s="20">
        <v>0</v>
      </c>
      <c r="T13" s="20">
        <v>0</v>
      </c>
      <c r="U13" s="20">
        <v>4</v>
      </c>
      <c r="V13" s="20"/>
      <c r="W13" s="20"/>
      <c r="X13" s="20"/>
      <c r="Y13" s="20">
        <f>SUM(G13:U13)</f>
        <v>41</v>
      </c>
      <c r="Z13" s="15"/>
      <c r="AA13" s="20">
        <f>Y13</f>
        <v>41</v>
      </c>
      <c r="AB13" s="20">
        <v>7</v>
      </c>
      <c r="AC13" s="20"/>
    </row>
    <row r="14" spans="1:29" ht="12.75">
      <c r="A14" s="19">
        <v>8</v>
      </c>
      <c r="B14" s="15" t="str">
        <f ca="1">IFERROR(__xludf.DUMMYFUNCTION("""COMPUTED_VALUE"""),"Иванова Юлия Игоревна")</f>
        <v>Иванова Юлия Игоревна</v>
      </c>
      <c r="C14" s="70">
        <v>1101</v>
      </c>
      <c r="D14" s="78" t="s">
        <v>90</v>
      </c>
      <c r="E14" s="68">
        <f ca="1">IFERROR(__xludf.DUMMYFUNCTION("""COMPUTED_VALUE"""),11)</f>
        <v>11</v>
      </c>
      <c r="F14" s="15" t="str">
        <f ca="1">IFERROR(__xludf.DUMMYFUNCTION("""COMPUTED_VALUE"""),"Павлова Лариса Сергеевна")</f>
        <v>Павлова Лариса Сергеевна</v>
      </c>
      <c r="G14" s="20">
        <v>2</v>
      </c>
      <c r="H14" s="20">
        <v>3</v>
      </c>
      <c r="I14" s="20">
        <v>2</v>
      </c>
      <c r="J14" s="20">
        <v>2</v>
      </c>
      <c r="K14" s="20">
        <v>2</v>
      </c>
      <c r="L14" s="20">
        <v>2</v>
      </c>
      <c r="M14" s="20">
        <v>1</v>
      </c>
      <c r="N14" s="20">
        <v>4</v>
      </c>
      <c r="O14" s="20">
        <v>2</v>
      </c>
      <c r="P14" s="20">
        <v>6</v>
      </c>
      <c r="Q14" s="20">
        <v>4</v>
      </c>
      <c r="R14" s="20">
        <v>2</v>
      </c>
      <c r="S14" s="20">
        <v>1</v>
      </c>
      <c r="T14" s="20">
        <v>4</v>
      </c>
      <c r="U14" s="20">
        <v>2</v>
      </c>
      <c r="V14" s="20"/>
      <c r="W14" s="20"/>
      <c r="X14" s="20"/>
      <c r="Y14" s="20">
        <f>SUM(G14:U14)</f>
        <v>39</v>
      </c>
      <c r="Z14" s="15"/>
      <c r="AA14" s="20">
        <f>Y14</f>
        <v>39</v>
      </c>
      <c r="AB14" s="20">
        <v>8</v>
      </c>
      <c r="AC14" s="20"/>
    </row>
    <row r="15" spans="1:29" ht="12.75">
      <c r="A15" s="20">
        <v>9</v>
      </c>
      <c r="B15" s="18" t="str">
        <f ca="1">IFERROR(__xludf.DUMMYFUNCTION("IMPORTRANGE(""https://docs.google.com/spreadsheets/d/16CWr8ky6L0i1S4UOLMYHizeHS6aZnIDEnQPyRJyTpcI/edit#gid=0"", ""Нов. век!B63:O69"")"),"Тюленева Анастасия Сергеевна")</f>
        <v>Тюленева Анастасия Сергеевна</v>
      </c>
      <c r="C15" s="71">
        <v>1103</v>
      </c>
      <c r="D15" s="78" t="s">
        <v>90</v>
      </c>
      <c r="E15" s="69">
        <f ca="1">IFERROR(__xludf.DUMMYFUNCTION("""COMPUTED_VALUE"""),11)</f>
        <v>11</v>
      </c>
      <c r="F15" s="16" t="str">
        <f ca="1">IFERROR(__xludf.DUMMYFUNCTION("""COMPUTED_VALUE"""),"Павлова Лариса Сергеевна")</f>
        <v>Павлова Лариса Сергеевна</v>
      </c>
      <c r="G15" s="20">
        <v>2</v>
      </c>
      <c r="H15" s="20">
        <v>5</v>
      </c>
      <c r="I15" s="20">
        <v>6</v>
      </c>
      <c r="J15" s="20">
        <v>4</v>
      </c>
      <c r="K15" s="20">
        <v>4</v>
      </c>
      <c r="L15" s="20">
        <v>2</v>
      </c>
      <c r="M15" s="20">
        <v>1</v>
      </c>
      <c r="N15" s="20">
        <v>2</v>
      </c>
      <c r="O15" s="20">
        <v>2</v>
      </c>
      <c r="P15" s="20">
        <v>2</v>
      </c>
      <c r="Q15" s="20">
        <v>3</v>
      </c>
      <c r="R15" s="20">
        <v>3</v>
      </c>
      <c r="S15" s="20">
        <v>1</v>
      </c>
      <c r="T15" s="20">
        <v>1</v>
      </c>
      <c r="U15" s="20">
        <v>0</v>
      </c>
      <c r="V15" s="20"/>
      <c r="W15" s="20"/>
      <c r="X15" s="20"/>
      <c r="Y15" s="20">
        <f>SUM(G15:U15)</f>
        <v>38</v>
      </c>
      <c r="Z15" s="15"/>
      <c r="AA15" s="20">
        <f>Y15</f>
        <v>38</v>
      </c>
      <c r="AB15" s="20">
        <v>9</v>
      </c>
      <c r="AC15" s="20"/>
    </row>
    <row r="16" spans="1:29" ht="12.75">
      <c r="A16" s="20">
        <v>10</v>
      </c>
      <c r="B16" s="15" t="str">
        <f ca="1">IFERROR(__xludf.DUMMYFUNCTION("""COMPUTED_VALUE"""),"Никитенко Анастасия Геннадьевна")</f>
        <v>Никитенко Анастасия Геннадьевна</v>
      </c>
      <c r="C16" s="70">
        <v>1115</v>
      </c>
      <c r="D16" s="80" t="str">
        <f ca="1">IFERROR(__xludf.DUMMYFUNCTION("""COMPUTED_VALUE"""),"МОУ ""СОШ №19""")</f>
        <v>МОУ "СОШ №19"</v>
      </c>
      <c r="E16" s="68">
        <f ca="1">IFERROR(__xludf.DUMMYFUNCTION("""COMPUTED_VALUE"""),11)</f>
        <v>11</v>
      </c>
      <c r="F16" s="15" t="str">
        <f ca="1">IFERROR(__xludf.DUMMYFUNCTION("""COMPUTED_VALUE"""),"Карташова Анна Александровна")</f>
        <v>Карташова Анна Александровна</v>
      </c>
      <c r="G16" s="19">
        <v>3</v>
      </c>
      <c r="H16" s="19">
        <v>4</v>
      </c>
      <c r="I16" s="19">
        <v>3</v>
      </c>
      <c r="J16" s="19">
        <v>3</v>
      </c>
      <c r="K16" s="19">
        <v>1</v>
      </c>
      <c r="L16" s="19">
        <v>4</v>
      </c>
      <c r="M16" s="19">
        <v>1</v>
      </c>
      <c r="N16" s="19">
        <v>4</v>
      </c>
      <c r="O16" s="19">
        <v>0</v>
      </c>
      <c r="P16" s="19">
        <v>3</v>
      </c>
      <c r="Q16" s="19">
        <v>2</v>
      </c>
      <c r="R16" s="19">
        <v>0</v>
      </c>
      <c r="S16" s="19">
        <v>1</v>
      </c>
      <c r="T16" s="19">
        <v>7</v>
      </c>
      <c r="U16" s="19">
        <v>2</v>
      </c>
      <c r="V16" s="19"/>
      <c r="W16" s="19"/>
      <c r="X16" s="19"/>
      <c r="Y16" s="20">
        <f>SUM(G16:U16)</f>
        <v>38</v>
      </c>
      <c r="Z16" s="16"/>
      <c r="AA16" s="20">
        <f>Y16</f>
        <v>38</v>
      </c>
      <c r="AB16" s="20">
        <v>10</v>
      </c>
      <c r="AC16" s="20"/>
    </row>
    <row r="17" spans="1:29" ht="12.75">
      <c r="A17" s="20">
        <v>11</v>
      </c>
      <c r="B17" s="16" t="str">
        <f ca="1">IFERROR(__xludf.DUMMYFUNCTION("""COMPUTED_VALUE"""),"Хмеленко Ирина Дмитриевна")</f>
        <v>Хмеленко Ирина Дмитриевна</v>
      </c>
      <c r="C17" s="71">
        <v>1119</v>
      </c>
      <c r="D17" s="78" t="s">
        <v>90</v>
      </c>
      <c r="E17" s="69">
        <f ca="1">IFERROR(__xludf.DUMMYFUNCTION("""COMPUTED_VALUE"""),11)</f>
        <v>11</v>
      </c>
      <c r="F17" s="16" t="str">
        <f ca="1">IFERROR(__xludf.DUMMYFUNCTION("""COMPUTED_VALUE"""),"Павлова Лариса Сергеевна")</f>
        <v>Павлова Лариса Сергеевна</v>
      </c>
      <c r="G17" s="20">
        <v>3</v>
      </c>
      <c r="H17" s="20">
        <v>3</v>
      </c>
      <c r="I17" s="20">
        <v>3</v>
      </c>
      <c r="J17" s="20">
        <v>2</v>
      </c>
      <c r="K17" s="20">
        <v>3</v>
      </c>
      <c r="L17" s="20">
        <v>3</v>
      </c>
      <c r="M17" s="20">
        <v>0</v>
      </c>
      <c r="N17" s="20">
        <v>4</v>
      </c>
      <c r="O17" s="20">
        <v>3</v>
      </c>
      <c r="P17" s="20">
        <v>2</v>
      </c>
      <c r="Q17" s="20">
        <v>4</v>
      </c>
      <c r="R17" s="20">
        <v>0</v>
      </c>
      <c r="S17" s="20">
        <v>2</v>
      </c>
      <c r="T17" s="20">
        <v>3</v>
      </c>
      <c r="U17" s="20">
        <v>0</v>
      </c>
      <c r="V17" s="20"/>
      <c r="W17" s="20"/>
      <c r="X17" s="20"/>
      <c r="Y17" s="20">
        <f>SUM(G17:U17)</f>
        <v>35</v>
      </c>
      <c r="Z17" s="15"/>
      <c r="AA17" s="20">
        <f>Y17</f>
        <v>35</v>
      </c>
      <c r="AB17" s="20">
        <v>11</v>
      </c>
      <c r="AC17" s="20"/>
    </row>
    <row r="18" spans="1:29" ht="12.75">
      <c r="A18" s="19">
        <v>12</v>
      </c>
      <c r="B18" s="15" t="str">
        <f ca="1">IFERROR(__xludf.DUMMYFUNCTION("""COMPUTED_VALUE"""),"Фадеева Елизавета Олеговна")</f>
        <v>Фадеева Елизавета Олеговна</v>
      </c>
      <c r="C18" s="70">
        <v>1113</v>
      </c>
      <c r="D18" s="78" t="s">
        <v>94</v>
      </c>
      <c r="E18" s="68">
        <f ca="1">IFERROR(__xludf.DUMMYFUNCTION("""COMPUTED_VALUE"""),11)</f>
        <v>11</v>
      </c>
      <c r="F18" s="15" t="str">
        <f ca="1">IFERROR(__xludf.DUMMYFUNCTION("""COMPUTED_VALUE"""),"Чермашенцева Анжела Сергеевна")</f>
        <v>Чермашенцева Анжела Сергеевна</v>
      </c>
      <c r="G18" s="19">
        <v>3</v>
      </c>
      <c r="H18" s="19">
        <v>5</v>
      </c>
      <c r="I18" s="19">
        <v>4</v>
      </c>
      <c r="J18" s="19">
        <v>3</v>
      </c>
      <c r="K18" s="19">
        <v>0</v>
      </c>
      <c r="L18" s="19">
        <v>0</v>
      </c>
      <c r="M18" s="19">
        <v>0</v>
      </c>
      <c r="N18" s="19">
        <v>3</v>
      </c>
      <c r="O18" s="19">
        <v>4</v>
      </c>
      <c r="P18" s="19">
        <v>4</v>
      </c>
      <c r="Q18" s="19">
        <v>2</v>
      </c>
      <c r="R18" s="19">
        <v>0</v>
      </c>
      <c r="S18" s="19">
        <v>0</v>
      </c>
      <c r="T18" s="19">
        <v>3</v>
      </c>
      <c r="U18" s="19">
        <v>3</v>
      </c>
      <c r="V18" s="19"/>
      <c r="W18" s="19"/>
      <c r="X18" s="19"/>
      <c r="Y18" s="20">
        <f>SUM(G18:U18)</f>
        <v>34</v>
      </c>
      <c r="Z18" s="16"/>
      <c r="AA18" s="20">
        <f>Y18</f>
        <v>34</v>
      </c>
      <c r="AB18" s="20">
        <v>12</v>
      </c>
      <c r="AC18" s="20"/>
    </row>
    <row r="19" spans="1:29" ht="12.75">
      <c r="A19" s="20">
        <v>13</v>
      </c>
      <c r="B19" s="15" t="str">
        <f ca="1">IFERROR(__xludf.DUMMYFUNCTION("""COMPUTED_VALUE"""),"Акимова Вероника Сергеевна")</f>
        <v>Акимова Вероника Сергеевна</v>
      </c>
      <c r="C19" s="70">
        <v>1110</v>
      </c>
      <c r="D19" s="78" t="s">
        <v>88</v>
      </c>
      <c r="E19" s="68">
        <f ca="1">IFERROR(__xludf.DUMMYFUNCTION("""COMPUTED_VALUE"""),11)</f>
        <v>11</v>
      </c>
      <c r="F19" s="15" t="str">
        <f ca="1">IFERROR(__xludf.DUMMYFUNCTION("""COMPUTED_VALUE"""),"Новинкина Светлана Габдулловна")</f>
        <v>Новинкина Светлана Габдулловна</v>
      </c>
      <c r="G19" s="19">
        <v>2</v>
      </c>
      <c r="H19" s="19">
        <v>3</v>
      </c>
      <c r="I19" s="19">
        <v>3</v>
      </c>
      <c r="J19" s="19">
        <v>1</v>
      </c>
      <c r="K19" s="19">
        <v>2</v>
      </c>
      <c r="L19" s="19">
        <v>2</v>
      </c>
      <c r="M19" s="19">
        <v>3</v>
      </c>
      <c r="N19" s="19">
        <v>4</v>
      </c>
      <c r="O19" s="19">
        <v>0</v>
      </c>
      <c r="P19" s="19">
        <v>1</v>
      </c>
      <c r="Q19" s="19">
        <v>1</v>
      </c>
      <c r="R19" s="19">
        <v>1</v>
      </c>
      <c r="S19" s="19">
        <v>0</v>
      </c>
      <c r="T19" s="19">
        <v>4</v>
      </c>
      <c r="U19" s="19">
        <v>0</v>
      </c>
      <c r="V19" s="19"/>
      <c r="W19" s="19"/>
      <c r="X19" s="19"/>
      <c r="Y19" s="20">
        <f>SUM(G19:U19)</f>
        <v>27</v>
      </c>
      <c r="Z19" s="16"/>
      <c r="AA19" s="20">
        <f>Y19</f>
        <v>27</v>
      </c>
      <c r="AB19" s="20">
        <v>13</v>
      </c>
      <c r="AC19" s="20"/>
    </row>
    <row r="20" spans="1:29" ht="12.75">
      <c r="A20" s="20">
        <v>14</v>
      </c>
      <c r="B20" s="16" t="str">
        <f ca="1">IFERROR(__xludf.DUMMYFUNCTION("""COMPUTED_VALUE"""),"Мель Дарья Александровна")</f>
        <v>Мель Дарья Александровна</v>
      </c>
      <c r="C20" s="71">
        <v>1108</v>
      </c>
      <c r="D20" s="78" t="s">
        <v>88</v>
      </c>
      <c r="E20" s="69">
        <f ca="1">IFERROR(__xludf.DUMMYFUNCTION("""COMPUTED_VALUE"""),11)</f>
        <v>11</v>
      </c>
      <c r="F20" s="16" t="str">
        <f ca="1">IFERROR(__xludf.DUMMYFUNCTION("""COMPUTED_VALUE"""),"Новинкина Светлана Габдулловна")</f>
        <v>Новинкина Светлана Габдулловна</v>
      </c>
      <c r="G20" s="20">
        <v>2</v>
      </c>
      <c r="H20" s="20">
        <v>3</v>
      </c>
      <c r="I20" s="20">
        <v>2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6</v>
      </c>
      <c r="Q20" s="20">
        <v>4</v>
      </c>
      <c r="R20" s="20">
        <v>0</v>
      </c>
      <c r="S20" s="20">
        <v>0</v>
      </c>
      <c r="T20" s="20">
        <v>6</v>
      </c>
      <c r="U20" s="20">
        <v>0</v>
      </c>
      <c r="V20" s="20"/>
      <c r="W20" s="20"/>
      <c r="X20" s="20"/>
      <c r="Y20" s="20">
        <f>SUM(G20:U20)</f>
        <v>23</v>
      </c>
      <c r="Z20" s="15"/>
      <c r="AA20" s="20">
        <f>Y20</f>
        <v>23</v>
      </c>
      <c r="AB20" s="20">
        <v>14</v>
      </c>
      <c r="AC20" s="20"/>
    </row>
    <row r="21" spans="1:29" ht="12.75">
      <c r="A21" s="20">
        <v>15</v>
      </c>
      <c r="B21" s="15" t="str">
        <f ca="1">IFERROR(__xludf.DUMMYFUNCTION("""COMPUTED_VALUE"""),"Демидов Егор Даниилович")</f>
        <v>Демидов Егор Даниилович</v>
      </c>
      <c r="C21" s="70">
        <v>1109</v>
      </c>
      <c r="D21" s="78" t="s">
        <v>88</v>
      </c>
      <c r="E21" s="68">
        <f ca="1">IFERROR(__xludf.DUMMYFUNCTION("""COMPUTED_VALUE"""),11)</f>
        <v>11</v>
      </c>
      <c r="F21" s="15" t="str">
        <f ca="1">IFERROR(__xludf.DUMMYFUNCTION("""COMPUTED_VALUE"""),"Новинкина Светлана Габдулловна")</f>
        <v>Новинкина Светлана Габдулловна</v>
      </c>
      <c r="G21" s="19">
        <v>0</v>
      </c>
      <c r="H21" s="19">
        <v>2</v>
      </c>
      <c r="I21" s="19">
        <v>3</v>
      </c>
      <c r="J21" s="19">
        <v>0</v>
      </c>
      <c r="K21" s="19">
        <v>0</v>
      </c>
      <c r="L21" s="19">
        <v>2</v>
      </c>
      <c r="M21" s="19">
        <v>1</v>
      </c>
      <c r="N21" s="19">
        <v>2</v>
      </c>
      <c r="O21" s="19">
        <v>2</v>
      </c>
      <c r="P21" s="19">
        <v>2</v>
      </c>
      <c r="Q21" s="19">
        <v>3</v>
      </c>
      <c r="R21" s="19">
        <v>0</v>
      </c>
      <c r="S21" s="19">
        <v>1</v>
      </c>
      <c r="T21" s="19">
        <v>4</v>
      </c>
      <c r="U21" s="19">
        <v>0</v>
      </c>
      <c r="V21" s="19"/>
      <c r="W21" s="19"/>
      <c r="X21" s="19"/>
      <c r="Y21" s="20">
        <f>SUM(G21:U21)</f>
        <v>22</v>
      </c>
      <c r="Z21" s="16"/>
      <c r="AA21" s="20">
        <f>Y21</f>
        <v>22</v>
      </c>
      <c r="AB21" s="20">
        <v>15</v>
      </c>
      <c r="AC21" s="20"/>
    </row>
    <row r="22" spans="1:29" ht="12.75">
      <c r="A22" s="19">
        <v>16</v>
      </c>
      <c r="B22" s="15" t="str">
        <f ca="1">IFERROR(__xludf.DUMMYFUNCTION("""COMPUTED_VALUE"""),"Лавриненко Захар Игоревич")</f>
        <v>Лавриненко Захар Игоревич</v>
      </c>
      <c r="C22" s="70">
        <v>1111</v>
      </c>
      <c r="D22" s="78" t="s">
        <v>92</v>
      </c>
      <c r="E22" s="68">
        <f ca="1">IFERROR(__xludf.DUMMYFUNCTION("""COMPUTED_VALUE"""),11)</f>
        <v>11</v>
      </c>
      <c r="F22" s="15" t="str">
        <f ca="1">IFERROR(__xludf.DUMMYFUNCTION("""COMPUTED_VALUE"""),"Моисеева Татьяна Владимировна")</f>
        <v>Моисеева Татьяна Владимировна</v>
      </c>
      <c r="G22" s="20">
        <v>3</v>
      </c>
      <c r="H22" s="20">
        <v>4</v>
      </c>
      <c r="I22" s="20">
        <v>4</v>
      </c>
      <c r="J22" s="20">
        <v>4</v>
      </c>
      <c r="K22" s="20">
        <v>0</v>
      </c>
      <c r="L22" s="20">
        <v>2</v>
      </c>
      <c r="M22" s="20">
        <v>1</v>
      </c>
      <c r="N22" s="20">
        <v>1</v>
      </c>
      <c r="O22" s="20">
        <v>1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1</v>
      </c>
      <c r="V22" s="20"/>
      <c r="W22" s="20"/>
      <c r="X22" s="20"/>
      <c r="Y22" s="20">
        <f>SUM(G22:U22)</f>
        <v>21</v>
      </c>
      <c r="Z22" s="15"/>
      <c r="AA22" s="20">
        <f>Y22</f>
        <v>21</v>
      </c>
      <c r="AB22" s="20">
        <v>16</v>
      </c>
      <c r="AC22" s="20"/>
    </row>
    <row r="23" spans="1:29" ht="12.75">
      <c r="A23" s="20">
        <v>17</v>
      </c>
      <c r="B23" s="16" t="str">
        <f ca="1">IFERROR(__xludf.DUMMYFUNCTION("""COMPUTED_VALUE"""),"Дзюбан Кирилл Викторович")</f>
        <v>Дзюбан Кирилл Викторович</v>
      </c>
      <c r="C23" s="71">
        <v>1107</v>
      </c>
      <c r="D23" s="78" t="s">
        <v>88</v>
      </c>
      <c r="E23" s="69">
        <f ca="1">IFERROR(__xludf.DUMMYFUNCTION("""COMPUTED_VALUE"""),11)</f>
        <v>11</v>
      </c>
      <c r="F23" s="16" t="str">
        <f ca="1">IFERROR(__xludf.DUMMYFUNCTION("""COMPUTED_VALUE"""),"Новинкина Светлана Габдулловна")</f>
        <v>Новинкина Светлана Габдулловна</v>
      </c>
      <c r="G23" s="20">
        <v>1</v>
      </c>
      <c r="H23" s="20">
        <v>1</v>
      </c>
      <c r="I23" s="20">
        <v>1</v>
      </c>
      <c r="J23" s="20">
        <v>0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3</v>
      </c>
      <c r="R23" s="20">
        <v>2</v>
      </c>
      <c r="S23" s="20">
        <v>0</v>
      </c>
      <c r="T23" s="20">
        <v>4</v>
      </c>
      <c r="U23" s="20">
        <v>0</v>
      </c>
      <c r="V23" s="20"/>
      <c r="W23" s="20"/>
      <c r="X23" s="20"/>
      <c r="Y23" s="20">
        <f>SUM(G23:U23)</f>
        <v>18</v>
      </c>
      <c r="Z23" s="15"/>
      <c r="AA23" s="20">
        <f>Y23</f>
        <v>18</v>
      </c>
      <c r="AB23" s="20">
        <v>17</v>
      </c>
      <c r="AC23" s="20"/>
    </row>
    <row r="24" spans="1:29" ht="12.75">
      <c r="A24" s="20">
        <v>18</v>
      </c>
      <c r="B24" s="15" t="str">
        <f ca="1">IFERROR(__xludf.DUMMYFUNCTION("""COMPUTED_VALUE"""),"Нестерова Анастасия Юрьевна")</f>
        <v>Нестерова Анастасия Юрьевна</v>
      </c>
      <c r="C24" s="70">
        <v>1105</v>
      </c>
      <c r="D24" s="78" t="s">
        <v>90</v>
      </c>
      <c r="E24" s="68">
        <f ca="1">IFERROR(__xludf.DUMMYFUNCTION("""COMPUTED_VALUE"""),11)</f>
        <v>11</v>
      </c>
      <c r="F24" s="15" t="str">
        <f ca="1">IFERROR(__xludf.DUMMYFUNCTION("""COMPUTED_VALUE"""),"Павлова Лариса Сергеевна")</f>
        <v>Павлова Лариса Сергеевна</v>
      </c>
      <c r="G24" s="19">
        <v>2</v>
      </c>
      <c r="H24" s="19">
        <v>5</v>
      </c>
      <c r="I24" s="19">
        <v>2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/>
      <c r="W24" s="19"/>
      <c r="X24" s="19"/>
      <c r="Y24" s="20">
        <f>SUM(G24:U24)</f>
        <v>11</v>
      </c>
      <c r="Z24" s="16"/>
      <c r="AA24" s="20">
        <f>Y24</f>
        <v>11</v>
      </c>
      <c r="AB24" s="20">
        <v>18</v>
      </c>
      <c r="AC24" s="20"/>
    </row>
    <row r="25" spans="1:29" ht="12.75">
      <c r="A25" s="20">
        <v>19</v>
      </c>
      <c r="B25" s="16" t="str">
        <f ca="1">IFERROR(__xludf.DUMMYFUNCTION("""COMPUTED_VALUE"""),"Мусагалиева Жанель Кайратовна")</f>
        <v>Мусагалиева Жанель Кайратовна</v>
      </c>
      <c r="C25" s="71">
        <v>1112</v>
      </c>
      <c r="D25" s="79" t="str">
        <f ca="1">IFERROR(__xludf.DUMMYFUNCTION("""COMPUTED_VALUE"""),"МОУ ""СОШ п. Придорожный""")</f>
        <v>МОУ "СОШ п. Придорожный"</v>
      </c>
      <c r="E25" s="69">
        <f ca="1">IFERROR(__xludf.DUMMYFUNCTION("""COMPUTED_VALUE"""),11)</f>
        <v>11</v>
      </c>
      <c r="F25" s="16" t="str">
        <f ca="1">IFERROR(__xludf.DUMMYFUNCTION("""COMPUTED_VALUE"""),"Демешко Екатерина Валерьевна")</f>
        <v>Демешко Екатерина Валерьевна</v>
      </c>
      <c r="G25" s="20">
        <v>1</v>
      </c>
      <c r="H25" s="20">
        <v>1</v>
      </c>
      <c r="I25" s="20">
        <v>2</v>
      </c>
      <c r="J25" s="20">
        <v>0</v>
      </c>
      <c r="K25" s="20">
        <v>3</v>
      </c>
      <c r="L25" s="20">
        <v>1</v>
      </c>
      <c r="M25" s="20">
        <v>1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</v>
      </c>
      <c r="U25" s="20">
        <v>0</v>
      </c>
      <c r="V25" s="20"/>
      <c r="W25" s="20"/>
      <c r="X25" s="20"/>
      <c r="Y25" s="20">
        <f>SUM(G25:U25)</f>
        <v>10</v>
      </c>
      <c r="Z25" s="15"/>
      <c r="AA25" s="20">
        <f>Y25</f>
        <v>10</v>
      </c>
      <c r="AB25" s="20">
        <v>19</v>
      </c>
      <c r="AC25" s="20"/>
    </row>
    <row r="26" spans="1:29" ht="12.75">
      <c r="A26" s="19">
        <v>20</v>
      </c>
      <c r="B26" s="16" t="str">
        <f ca="1">IFERROR(__xludf.DUMMYFUNCTION("""COMPUTED_VALUE"""),"Буковская Анастасия Александровна")</f>
        <v>Буковская Анастасия Александровна</v>
      </c>
      <c r="C26" s="65"/>
      <c r="D26" s="78" t="s">
        <v>90</v>
      </c>
      <c r="E26" s="69">
        <f ca="1">IFERROR(__xludf.DUMMYFUNCTION("""COMPUTED_VALUE"""),11)</f>
        <v>11</v>
      </c>
      <c r="F26" s="16" t="str">
        <f ca="1">IFERROR(__xludf.DUMMYFUNCTION("""COMPUTED_VALUE"""),"Павлова Лариса Сергеевна")</f>
        <v>Павлова Лариса Сергеевна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5"/>
      <c r="AA26" s="20"/>
      <c r="AB26" s="20"/>
      <c r="AC26" s="20"/>
    </row>
    <row r="27" spans="1:29" ht="12.75">
      <c r="A27" s="20">
        <v>21</v>
      </c>
      <c r="B27" s="15" t="str">
        <f ca="1">IFERROR(__xludf.DUMMYFUNCTION("""COMPUTED_VALUE"""),"Володин Константин")</f>
        <v>Володин Константин</v>
      </c>
      <c r="C27" s="64"/>
      <c r="D27" s="80" t="str">
        <f ca="1">IFERROR(__xludf.DUMMYFUNCTION("""COMPUTED_VALUE"""),"МОУ ""СОШ №31""")</f>
        <v>МОУ "СОШ №31"</v>
      </c>
      <c r="E27" s="68">
        <f ca="1">IFERROR(__xludf.DUMMYFUNCTION("""COMPUTED_VALUE"""),11)</f>
        <v>11</v>
      </c>
      <c r="F27" s="15" t="str">
        <f ca="1">IFERROR(__xludf.DUMMYFUNCTION("""COMPUTED_VALUE"""),"Котлярова Евгения Владимировна")</f>
        <v>Котлярова Евгения Владимировна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5"/>
      <c r="AA27" s="20"/>
      <c r="AB27" s="20"/>
      <c r="AC27" s="20"/>
    </row>
    <row r="28" spans="1:29" ht="12.75">
      <c r="A28" s="20">
        <v>22</v>
      </c>
      <c r="B28" s="15" t="str">
        <f ca="1">IFERROR(__xludf.DUMMYFUNCTION("""COMPUTED_VALUE"""),"Габбасова Карина Дулатовна")</f>
        <v>Габбасова Карина Дулатовна</v>
      </c>
      <c r="C28" s="64"/>
      <c r="D28" s="78" t="s">
        <v>88</v>
      </c>
      <c r="E28" s="68">
        <f ca="1">IFERROR(__xludf.DUMMYFUNCTION("""COMPUTED_VALUE"""),11)</f>
        <v>11</v>
      </c>
      <c r="F28" s="15" t="str">
        <f ca="1">IFERROR(__xludf.DUMMYFUNCTION("""COMPUTED_VALUE"""),"Новинкина Светлана Габдулловна")</f>
        <v>Новинкина Светлана Габдулловна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5"/>
      <c r="AA28" s="20"/>
      <c r="AB28" s="20"/>
      <c r="AC28" s="20"/>
    </row>
    <row r="29" spans="1:29" ht="12.75">
      <c r="A29" s="20">
        <v>23</v>
      </c>
      <c r="B29" s="15" t="str">
        <f ca="1">IFERROR(__xludf.DUMMYFUNCTION("""COMPUTED_VALUE"""),"Горкунов Кирилл Дмитриевич")</f>
        <v>Горкунов Кирилл Дмитриевич</v>
      </c>
      <c r="C29" s="64"/>
      <c r="D29" s="78" t="s">
        <v>88</v>
      </c>
      <c r="E29" s="68">
        <f ca="1">IFERROR(__xludf.DUMMYFUNCTION("""COMPUTED_VALUE"""),11)</f>
        <v>11</v>
      </c>
      <c r="F29" s="15" t="str">
        <f ca="1">IFERROR(__xludf.DUMMYFUNCTION("""COMPUTED_VALUE"""),"Новинкина Светлана Габдулловна")</f>
        <v>Новинкина Светлана Габдулловна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5"/>
      <c r="AA29" s="20"/>
      <c r="AB29" s="20"/>
      <c r="AC29" s="20"/>
    </row>
    <row r="30" spans="1:29" ht="12.75">
      <c r="A30" s="19">
        <v>24</v>
      </c>
      <c r="B30" s="16" t="str">
        <f ca="1">IFERROR(__xludf.DUMMYFUNCTION("""COMPUTED_VALUE"""),"Митрофанова Екатерина Олеговна")</f>
        <v>Митрофанова Екатерина Олеговна</v>
      </c>
      <c r="C30" s="65"/>
      <c r="D30" s="78" t="s">
        <v>88</v>
      </c>
      <c r="E30" s="69">
        <f ca="1">IFERROR(__xludf.DUMMYFUNCTION("""COMPUTED_VALUE"""),11)</f>
        <v>11</v>
      </c>
      <c r="F30" s="16" t="str">
        <f ca="1">IFERROR(__xludf.DUMMYFUNCTION("""COMPUTED_VALUE"""),"Новинкина Светлана Габдулловна")</f>
        <v>Новинкина Светлана Габдулловна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5"/>
      <c r="AA30" s="20"/>
      <c r="AB30" s="20"/>
      <c r="AC30" s="20"/>
    </row>
    <row r="31" spans="1:29" ht="12.75">
      <c r="A31" s="20">
        <v>25</v>
      </c>
      <c r="B31" s="15" t="str">
        <f ca="1">IFERROR(__xludf.DUMMYFUNCTION("""COMPUTED_VALUE"""),"Николаев Иван Сергеевич")</f>
        <v>Николаев Иван Сергеевич</v>
      </c>
      <c r="C31" s="64"/>
      <c r="D31" s="78" t="s">
        <v>90</v>
      </c>
      <c r="E31" s="68">
        <f ca="1">IFERROR(__xludf.DUMMYFUNCTION("""COMPUTED_VALUE"""),11)</f>
        <v>11</v>
      </c>
      <c r="F31" s="15" t="str">
        <f ca="1">IFERROR(__xludf.DUMMYFUNCTION("""COMPUTED_VALUE"""),"Павлова Лариса Сергеевна")</f>
        <v>Павлова Лариса Сергеевна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5"/>
      <c r="AA31" s="20"/>
      <c r="AB31" s="20"/>
      <c r="AC31" s="20"/>
    </row>
    <row r="32" spans="1:29" ht="12.75">
      <c r="A32" s="20">
        <v>26</v>
      </c>
      <c r="B32" s="15" t="str">
        <f ca="1">IFERROR(__xludf.DUMMYFUNCTION("""COMPUTED_VALUE"""),"Полежаев Артур Романович")</f>
        <v>Полежаев Артур Романович</v>
      </c>
      <c r="C32" s="64"/>
      <c r="D32" s="78" t="s">
        <v>90</v>
      </c>
      <c r="E32" s="68">
        <f ca="1">IFERROR(__xludf.DUMMYFUNCTION("""COMPUTED_VALUE"""),11)</f>
        <v>11</v>
      </c>
      <c r="F32" s="15" t="str">
        <f ca="1">IFERROR(__xludf.DUMMYFUNCTION("""COMPUTED_VALUE"""),"Павлова Лариса Сергеевна")</f>
        <v>Павлова Лариса Сергеевна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/>
      <c r="Z32" s="16"/>
      <c r="AA32" s="20"/>
      <c r="AB32" s="20"/>
      <c r="AC32" s="20"/>
    </row>
    <row r="33" spans="1:29" ht="12.75">
      <c r="A33" s="20">
        <v>27</v>
      </c>
      <c r="B33" s="18" t="str">
        <f ca="1">IFERROR(__xludf.DUMMYFUNCTION("IMPORTRANGE(""https://docs.google.com/spreadsheets/d/16CWr8ky6L0i1S4UOLMYHizeHS6aZnIDEnQPyRJyTpcI/edit#gid=0"", ""Нов. век!B33:O37"")"),"Шмельков Павел Сергеевич")</f>
        <v>Шмельков Павел Сергеевич</v>
      </c>
      <c r="C33" s="64"/>
      <c r="D33" s="78" t="s">
        <v>90</v>
      </c>
      <c r="E33" s="68">
        <f ca="1">IFERROR(__xludf.DUMMYFUNCTION("""COMPUTED_VALUE"""),11)</f>
        <v>11</v>
      </c>
      <c r="F33" s="15" t="str">
        <f ca="1">IFERROR(__xludf.DUMMYFUNCTION("""COMPUTED_VALUE"""),"Павлова Лариса Сергеевна")</f>
        <v>Павлова Лариса Сергеевна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/>
      <c r="Z33" s="16"/>
      <c r="AA33" s="20"/>
      <c r="AB33" s="20"/>
      <c r="AC33" s="20"/>
    </row>
    <row r="34" spans="1:29" ht="15.75" customHeight="1">
      <c r="B34" s="47" t="s">
        <v>87</v>
      </c>
    </row>
    <row r="35" spans="1:29" ht="15.75" customHeight="1">
      <c r="B35" s="47" t="s">
        <v>79</v>
      </c>
    </row>
    <row r="36" spans="1:29" ht="15.75" customHeight="1">
      <c r="B36" s="47" t="s">
        <v>80</v>
      </c>
    </row>
    <row r="37" spans="1:29" ht="15.75" customHeight="1">
      <c r="B37" s="47" t="s">
        <v>83</v>
      </c>
    </row>
    <row r="38" spans="1:29" ht="15.75" customHeight="1">
      <c r="B38" s="47" t="s">
        <v>81</v>
      </c>
    </row>
    <row r="39" spans="1:29" ht="15.75" customHeight="1">
      <c r="B39" s="47" t="s">
        <v>84</v>
      </c>
    </row>
    <row r="40" spans="1:29" ht="15.75" customHeight="1">
      <c r="B40" s="47" t="s">
        <v>82</v>
      </c>
    </row>
    <row r="41" spans="1:29" ht="15.75" customHeight="1">
      <c r="B41" s="47" t="s">
        <v>85</v>
      </c>
    </row>
    <row r="42" spans="1:29" ht="15.75" customHeight="1">
      <c r="B42" s="48" t="s">
        <v>86</v>
      </c>
    </row>
  </sheetData>
  <sortState ref="B7:AA25">
    <sortCondition descending="1" ref="AA7:AA25"/>
  </sortState>
  <mergeCells count="10">
    <mergeCell ref="A2:AB2"/>
    <mergeCell ref="A3:AB3"/>
    <mergeCell ref="A5:A6"/>
    <mergeCell ref="B5:B6"/>
    <mergeCell ref="C5:C6"/>
    <mergeCell ref="D5:D6"/>
    <mergeCell ref="E5:E6"/>
    <mergeCell ref="F5:F6"/>
    <mergeCell ref="A4:AB4"/>
    <mergeCell ref="G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15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15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15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15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15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15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15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15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15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15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15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15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15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15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15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15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15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15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15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15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15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15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15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15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15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15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15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15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15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15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15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15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15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15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15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16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16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16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16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16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16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16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16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16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16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16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16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16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16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16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16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16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16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16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16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16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16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16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16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16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16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16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16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16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16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16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16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16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16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16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17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17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17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17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17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17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17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17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17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17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17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17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17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17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17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17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17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17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17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17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17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17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17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17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17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17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17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17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17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17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17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17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17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17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17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7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9.140625" customWidth="1"/>
    <col min="2" max="2" width="57.28515625" customWidth="1"/>
    <col min="4" max="4" width="21.140625" customWidth="1"/>
    <col min="6" max="6" width="57.28515625" customWidth="1"/>
    <col min="7" max="14" width="10.85546875" customWidth="1"/>
  </cols>
  <sheetData>
    <row r="1" spans="1:19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4" t="s">
        <v>5</v>
      </c>
      <c r="G1" s="61" t="s">
        <v>6</v>
      </c>
      <c r="H1" s="62"/>
      <c r="I1" s="62"/>
      <c r="J1" s="62"/>
      <c r="K1" s="62"/>
      <c r="L1" s="62"/>
      <c r="M1" s="62"/>
      <c r="N1" s="63"/>
      <c r="O1" s="7" t="s">
        <v>14</v>
      </c>
      <c r="P1" s="7" t="s">
        <v>7</v>
      </c>
      <c r="Q1" s="7" t="s">
        <v>8</v>
      </c>
      <c r="R1" s="7" t="s">
        <v>9</v>
      </c>
      <c r="S1" s="7" t="s">
        <v>10</v>
      </c>
    </row>
    <row r="2" spans="1:19">
      <c r="A2" s="8"/>
      <c r="B2" s="9"/>
      <c r="C2" s="1"/>
      <c r="D2" s="10"/>
      <c r="E2" s="10"/>
      <c r="F2" s="9"/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1"/>
      <c r="O2" s="11"/>
      <c r="P2" s="11"/>
      <c r="Q2" s="11"/>
      <c r="R2" s="11"/>
      <c r="S2" s="11"/>
    </row>
    <row r="3" spans="1:19">
      <c r="A3" s="10">
        <v>1</v>
      </c>
      <c r="B3" s="9"/>
      <c r="C3" s="1"/>
      <c r="D3" s="10" t="s">
        <v>18</v>
      </c>
      <c r="E3" s="10">
        <v>5</v>
      </c>
      <c r="F3" s="9"/>
      <c r="G3" s="1"/>
      <c r="H3" s="1"/>
      <c r="I3" s="1"/>
      <c r="J3" s="1"/>
      <c r="K3" s="1"/>
      <c r="L3" s="1"/>
      <c r="M3" s="1"/>
      <c r="N3" s="1"/>
      <c r="O3" s="11">
        <f t="shared" ref="O3:O37" si="0">SUM(G3:M3)</f>
        <v>0</v>
      </c>
      <c r="P3" s="11"/>
      <c r="Q3" s="11"/>
      <c r="R3" s="11"/>
      <c r="S3" s="11"/>
    </row>
    <row r="4" spans="1:19">
      <c r="A4" s="10">
        <v>2</v>
      </c>
      <c r="B4" s="9"/>
      <c r="C4" s="1"/>
      <c r="D4" s="10" t="s">
        <v>18</v>
      </c>
      <c r="E4" s="10">
        <v>5</v>
      </c>
      <c r="F4" s="9"/>
      <c r="G4" s="1"/>
      <c r="H4" s="1"/>
      <c r="I4" s="1"/>
      <c r="J4" s="1"/>
      <c r="K4" s="1"/>
      <c r="L4" s="1"/>
      <c r="M4" s="1"/>
      <c r="N4" s="1"/>
      <c r="O4" s="11">
        <f t="shared" si="0"/>
        <v>0</v>
      </c>
      <c r="P4" s="11"/>
      <c r="Q4" s="11"/>
      <c r="R4" s="11"/>
      <c r="S4" s="11"/>
    </row>
    <row r="5" spans="1:19">
      <c r="A5" s="10">
        <v>3</v>
      </c>
      <c r="B5" s="9"/>
      <c r="C5" s="1"/>
      <c r="D5" s="10" t="s">
        <v>18</v>
      </c>
      <c r="E5" s="10">
        <v>5</v>
      </c>
      <c r="F5" s="9"/>
      <c r="G5" s="1"/>
      <c r="H5" s="1"/>
      <c r="I5" s="1"/>
      <c r="J5" s="1"/>
      <c r="K5" s="1"/>
      <c r="L5" s="1"/>
      <c r="M5" s="1"/>
      <c r="N5" s="1"/>
      <c r="O5" s="11">
        <f t="shared" si="0"/>
        <v>0</v>
      </c>
      <c r="P5" s="11"/>
      <c r="Q5" s="11"/>
      <c r="R5" s="11"/>
      <c r="S5" s="11"/>
    </row>
    <row r="6" spans="1:19">
      <c r="A6" s="10">
        <v>4</v>
      </c>
      <c r="B6" s="9"/>
      <c r="C6" s="1"/>
      <c r="D6" s="10" t="s">
        <v>18</v>
      </c>
      <c r="E6" s="10">
        <v>5</v>
      </c>
      <c r="F6" s="9"/>
      <c r="G6" s="1"/>
      <c r="H6" s="1"/>
      <c r="I6" s="1"/>
      <c r="J6" s="1"/>
      <c r="K6" s="1"/>
      <c r="L6" s="1"/>
      <c r="M6" s="1"/>
      <c r="N6" s="1"/>
      <c r="O6" s="11">
        <f t="shared" si="0"/>
        <v>0</v>
      </c>
      <c r="P6" s="11"/>
      <c r="Q6" s="11"/>
      <c r="R6" s="11"/>
      <c r="S6" s="11"/>
    </row>
    <row r="7" spans="1:19">
      <c r="A7" s="10">
        <v>5</v>
      </c>
      <c r="B7" s="9"/>
      <c r="C7" s="1"/>
      <c r="D7" s="10" t="s">
        <v>18</v>
      </c>
      <c r="E7" s="10">
        <v>5</v>
      </c>
      <c r="F7" s="9"/>
      <c r="G7" s="1"/>
      <c r="H7" s="1"/>
      <c r="I7" s="1"/>
      <c r="J7" s="1"/>
      <c r="K7" s="1"/>
      <c r="L7" s="1"/>
      <c r="M7" s="1"/>
      <c r="N7" s="1"/>
      <c r="O7" s="11">
        <f t="shared" si="0"/>
        <v>0</v>
      </c>
      <c r="P7" s="11"/>
      <c r="Q7" s="11"/>
      <c r="R7" s="11"/>
      <c r="S7" s="11"/>
    </row>
    <row r="8" spans="1:19">
      <c r="A8" s="10">
        <v>6</v>
      </c>
      <c r="B8" s="9"/>
      <c r="C8" s="1"/>
      <c r="D8" s="10" t="s">
        <v>18</v>
      </c>
      <c r="E8" s="10">
        <v>6</v>
      </c>
      <c r="F8" s="9"/>
      <c r="G8" s="1"/>
      <c r="H8" s="1"/>
      <c r="I8" s="1"/>
      <c r="J8" s="1"/>
      <c r="K8" s="1"/>
      <c r="L8" s="1"/>
      <c r="M8" s="1"/>
      <c r="N8" s="1"/>
      <c r="O8" s="11">
        <f t="shared" si="0"/>
        <v>0</v>
      </c>
      <c r="P8" s="11"/>
      <c r="Q8" s="11"/>
      <c r="R8" s="11"/>
      <c r="S8" s="11"/>
    </row>
    <row r="9" spans="1:19">
      <c r="A9" s="10">
        <v>7</v>
      </c>
      <c r="B9" s="9"/>
      <c r="C9" s="1"/>
      <c r="D9" s="10" t="s">
        <v>18</v>
      </c>
      <c r="E9" s="10">
        <v>6</v>
      </c>
      <c r="F9" s="9"/>
      <c r="G9" s="1"/>
      <c r="H9" s="1"/>
      <c r="I9" s="1"/>
      <c r="J9" s="1"/>
      <c r="K9" s="1"/>
      <c r="L9" s="1"/>
      <c r="M9" s="1"/>
      <c r="N9" s="1"/>
      <c r="O9" s="11">
        <f t="shared" si="0"/>
        <v>0</v>
      </c>
      <c r="P9" s="11"/>
      <c r="Q9" s="11"/>
      <c r="R9" s="11"/>
      <c r="S9" s="11"/>
    </row>
    <row r="10" spans="1:19">
      <c r="A10" s="10">
        <v>8</v>
      </c>
      <c r="B10" s="9"/>
      <c r="C10" s="1"/>
      <c r="D10" s="10" t="s">
        <v>18</v>
      </c>
      <c r="E10" s="10">
        <v>6</v>
      </c>
      <c r="F10" s="9"/>
      <c r="G10" s="1"/>
      <c r="H10" s="1"/>
      <c r="I10" s="1"/>
      <c r="J10" s="1"/>
      <c r="K10" s="1"/>
      <c r="L10" s="1"/>
      <c r="M10" s="1"/>
      <c r="N10" s="1"/>
      <c r="O10" s="11">
        <f t="shared" si="0"/>
        <v>0</v>
      </c>
      <c r="P10" s="11"/>
      <c r="Q10" s="11"/>
      <c r="R10" s="11"/>
      <c r="S10" s="11"/>
    </row>
    <row r="11" spans="1:19">
      <c r="A11" s="10">
        <v>9</v>
      </c>
      <c r="B11" s="9"/>
      <c r="C11" s="1"/>
      <c r="D11" s="10" t="s">
        <v>18</v>
      </c>
      <c r="E11" s="10">
        <v>6</v>
      </c>
      <c r="F11" s="9"/>
      <c r="G11" s="1"/>
      <c r="H11" s="1"/>
      <c r="I11" s="1"/>
      <c r="J11" s="1"/>
      <c r="K11" s="1"/>
      <c r="L11" s="1"/>
      <c r="M11" s="1"/>
      <c r="N11" s="1"/>
      <c r="O11" s="11">
        <f t="shared" si="0"/>
        <v>0</v>
      </c>
      <c r="P11" s="11"/>
      <c r="Q11" s="11"/>
      <c r="R11" s="11"/>
      <c r="S11" s="11"/>
    </row>
    <row r="12" spans="1:19">
      <c r="A12" s="10">
        <v>10</v>
      </c>
      <c r="B12" s="9"/>
      <c r="C12" s="1"/>
      <c r="D12" s="10" t="s">
        <v>18</v>
      </c>
      <c r="E12" s="10">
        <v>6</v>
      </c>
      <c r="F12" s="9"/>
      <c r="G12" s="1"/>
      <c r="H12" s="1"/>
      <c r="I12" s="1"/>
      <c r="J12" s="1"/>
      <c r="K12" s="1"/>
      <c r="L12" s="1"/>
      <c r="M12" s="1"/>
      <c r="N12" s="1"/>
      <c r="O12" s="11">
        <f t="shared" si="0"/>
        <v>0</v>
      </c>
      <c r="P12" s="11"/>
      <c r="Q12" s="11"/>
      <c r="R12" s="11"/>
      <c r="S12" s="11"/>
    </row>
    <row r="13" spans="1:19">
      <c r="A13" s="10">
        <v>11</v>
      </c>
      <c r="B13" s="9"/>
      <c r="C13" s="1"/>
      <c r="D13" s="10" t="s">
        <v>18</v>
      </c>
      <c r="E13" s="10">
        <v>7</v>
      </c>
      <c r="F13" s="9"/>
      <c r="G13" s="1"/>
      <c r="H13" s="1"/>
      <c r="I13" s="1"/>
      <c r="J13" s="1"/>
      <c r="K13" s="1"/>
      <c r="L13" s="1"/>
      <c r="M13" s="1"/>
      <c r="N13" s="1"/>
      <c r="O13" s="11">
        <f t="shared" si="0"/>
        <v>0</v>
      </c>
      <c r="P13" s="11"/>
      <c r="Q13" s="11"/>
      <c r="R13" s="11"/>
      <c r="S13" s="11"/>
    </row>
    <row r="14" spans="1:19">
      <c r="A14" s="10">
        <v>12</v>
      </c>
      <c r="B14" s="9"/>
      <c r="C14" s="1"/>
      <c r="D14" s="10" t="s">
        <v>18</v>
      </c>
      <c r="E14" s="10">
        <v>7</v>
      </c>
      <c r="F14" s="9"/>
      <c r="G14" s="1"/>
      <c r="H14" s="1"/>
      <c r="I14" s="1"/>
      <c r="J14" s="1"/>
      <c r="K14" s="1"/>
      <c r="L14" s="1"/>
      <c r="M14" s="1"/>
      <c r="N14" s="1"/>
      <c r="O14" s="11">
        <f t="shared" si="0"/>
        <v>0</v>
      </c>
      <c r="P14" s="11"/>
      <c r="Q14" s="11"/>
      <c r="R14" s="11"/>
      <c r="S14" s="11"/>
    </row>
    <row r="15" spans="1:19">
      <c r="A15" s="10">
        <v>13</v>
      </c>
      <c r="B15" s="9"/>
      <c r="C15" s="1"/>
      <c r="D15" s="10" t="s">
        <v>18</v>
      </c>
      <c r="E15" s="10">
        <v>7</v>
      </c>
      <c r="F15" s="9"/>
      <c r="G15" s="1"/>
      <c r="H15" s="1"/>
      <c r="I15" s="1"/>
      <c r="J15" s="1"/>
      <c r="K15" s="1"/>
      <c r="L15" s="1"/>
      <c r="M15" s="1"/>
      <c r="N15" s="1"/>
      <c r="O15" s="11">
        <f t="shared" si="0"/>
        <v>0</v>
      </c>
      <c r="P15" s="11"/>
      <c r="Q15" s="11"/>
      <c r="R15" s="11"/>
      <c r="S15" s="11"/>
    </row>
    <row r="16" spans="1:19">
      <c r="A16" s="10">
        <v>14</v>
      </c>
      <c r="B16" s="9"/>
      <c r="C16" s="1"/>
      <c r="D16" s="10" t="s">
        <v>18</v>
      </c>
      <c r="E16" s="10">
        <v>7</v>
      </c>
      <c r="F16" s="9"/>
      <c r="G16" s="1"/>
      <c r="H16" s="1"/>
      <c r="I16" s="1"/>
      <c r="J16" s="1"/>
      <c r="K16" s="1"/>
      <c r="L16" s="1"/>
      <c r="M16" s="1"/>
      <c r="N16" s="1"/>
      <c r="O16" s="11">
        <f t="shared" si="0"/>
        <v>0</v>
      </c>
      <c r="P16" s="11"/>
      <c r="Q16" s="11"/>
      <c r="R16" s="11"/>
      <c r="S16" s="11"/>
    </row>
    <row r="17" spans="1:19">
      <c r="A17" s="10">
        <v>15</v>
      </c>
      <c r="B17" s="9"/>
      <c r="C17" s="1"/>
      <c r="D17" s="10" t="s">
        <v>18</v>
      </c>
      <c r="E17" s="10">
        <v>7</v>
      </c>
      <c r="F17" s="9"/>
      <c r="G17" s="1"/>
      <c r="H17" s="1"/>
      <c r="I17" s="1"/>
      <c r="J17" s="1"/>
      <c r="K17" s="1"/>
      <c r="L17" s="1"/>
      <c r="M17" s="1"/>
      <c r="N17" s="1"/>
      <c r="O17" s="11">
        <f t="shared" si="0"/>
        <v>0</v>
      </c>
      <c r="P17" s="11"/>
      <c r="Q17" s="11"/>
      <c r="R17" s="11"/>
      <c r="S17" s="11"/>
    </row>
    <row r="18" spans="1:19">
      <c r="A18" s="10">
        <v>16</v>
      </c>
      <c r="B18" s="9"/>
      <c r="C18" s="1"/>
      <c r="D18" s="10" t="s">
        <v>18</v>
      </c>
      <c r="E18" s="10">
        <v>8</v>
      </c>
      <c r="F18" s="9"/>
      <c r="G18" s="1"/>
      <c r="H18" s="1"/>
      <c r="I18" s="1"/>
      <c r="J18" s="1"/>
      <c r="K18" s="1"/>
      <c r="L18" s="1"/>
      <c r="M18" s="1"/>
      <c r="N18" s="1"/>
      <c r="O18" s="11">
        <f t="shared" si="0"/>
        <v>0</v>
      </c>
      <c r="P18" s="11"/>
      <c r="Q18" s="11"/>
      <c r="R18" s="11"/>
      <c r="S18" s="11"/>
    </row>
    <row r="19" spans="1:19">
      <c r="A19" s="10">
        <v>17</v>
      </c>
      <c r="B19" s="9"/>
      <c r="C19" s="1"/>
      <c r="D19" s="10" t="s">
        <v>18</v>
      </c>
      <c r="E19" s="10">
        <v>8</v>
      </c>
      <c r="F19" s="9"/>
      <c r="G19" s="1"/>
      <c r="H19" s="1"/>
      <c r="I19" s="1"/>
      <c r="J19" s="1"/>
      <c r="K19" s="1"/>
      <c r="L19" s="1"/>
      <c r="M19" s="1"/>
      <c r="N19" s="1"/>
      <c r="O19" s="11">
        <f t="shared" si="0"/>
        <v>0</v>
      </c>
      <c r="P19" s="11"/>
      <c r="Q19" s="11"/>
      <c r="R19" s="11"/>
      <c r="S19" s="11"/>
    </row>
    <row r="20" spans="1:19">
      <c r="A20" s="10">
        <v>18</v>
      </c>
      <c r="B20" s="9"/>
      <c r="C20" s="1"/>
      <c r="D20" s="10" t="s">
        <v>18</v>
      </c>
      <c r="E20" s="10">
        <v>8</v>
      </c>
      <c r="F20" s="9"/>
      <c r="G20" s="1"/>
      <c r="H20" s="1"/>
      <c r="I20" s="1"/>
      <c r="J20" s="1"/>
      <c r="K20" s="1"/>
      <c r="L20" s="1"/>
      <c r="M20" s="1"/>
      <c r="N20" s="1"/>
      <c r="O20" s="11">
        <f t="shared" si="0"/>
        <v>0</v>
      </c>
      <c r="P20" s="11"/>
      <c r="Q20" s="11"/>
      <c r="R20" s="11"/>
      <c r="S20" s="11"/>
    </row>
    <row r="21" spans="1:19">
      <c r="A21" s="10">
        <v>19</v>
      </c>
      <c r="B21" s="9"/>
      <c r="C21" s="1"/>
      <c r="D21" s="10" t="s">
        <v>18</v>
      </c>
      <c r="E21" s="10">
        <v>8</v>
      </c>
      <c r="F21" s="9"/>
      <c r="G21" s="1"/>
      <c r="H21" s="1"/>
      <c r="I21" s="1"/>
      <c r="J21" s="1"/>
      <c r="K21" s="1"/>
      <c r="L21" s="1"/>
      <c r="M21" s="1"/>
      <c r="N21" s="1"/>
      <c r="O21" s="11">
        <f t="shared" si="0"/>
        <v>0</v>
      </c>
      <c r="P21" s="11"/>
      <c r="Q21" s="11"/>
      <c r="R21" s="11"/>
      <c r="S21" s="11"/>
    </row>
    <row r="22" spans="1:19">
      <c r="A22" s="10">
        <v>20</v>
      </c>
      <c r="B22" s="9"/>
      <c r="C22" s="1"/>
      <c r="D22" s="10" t="s">
        <v>18</v>
      </c>
      <c r="E22" s="10">
        <v>8</v>
      </c>
      <c r="F22" s="9"/>
      <c r="G22" s="1"/>
      <c r="H22" s="1"/>
      <c r="I22" s="1"/>
      <c r="J22" s="1"/>
      <c r="K22" s="1"/>
      <c r="L22" s="1"/>
      <c r="M22" s="1"/>
      <c r="N22" s="1"/>
      <c r="O22" s="11">
        <f t="shared" si="0"/>
        <v>0</v>
      </c>
      <c r="P22" s="11"/>
      <c r="Q22" s="11"/>
      <c r="R22" s="11"/>
      <c r="S22" s="11"/>
    </row>
    <row r="23" spans="1:19">
      <c r="A23" s="10">
        <v>21</v>
      </c>
      <c r="B23" s="9"/>
      <c r="C23" s="1"/>
      <c r="D23" s="10" t="s">
        <v>18</v>
      </c>
      <c r="E23" s="10">
        <v>9</v>
      </c>
      <c r="F23" s="9"/>
      <c r="G23" s="1"/>
      <c r="H23" s="1"/>
      <c r="I23" s="1"/>
      <c r="J23" s="1"/>
      <c r="K23" s="1"/>
      <c r="L23" s="1"/>
      <c r="M23" s="1"/>
      <c r="N23" s="1"/>
      <c r="O23" s="11">
        <f t="shared" si="0"/>
        <v>0</v>
      </c>
      <c r="P23" s="11"/>
      <c r="Q23" s="11"/>
      <c r="R23" s="11"/>
      <c r="S23" s="11"/>
    </row>
    <row r="24" spans="1:19">
      <c r="A24" s="10">
        <v>22</v>
      </c>
      <c r="B24" s="9"/>
      <c r="C24" s="1"/>
      <c r="D24" s="10" t="s">
        <v>18</v>
      </c>
      <c r="E24" s="10">
        <v>9</v>
      </c>
      <c r="F24" s="9"/>
      <c r="G24" s="1"/>
      <c r="H24" s="1"/>
      <c r="I24" s="1"/>
      <c r="J24" s="1"/>
      <c r="K24" s="1"/>
      <c r="L24" s="1"/>
      <c r="M24" s="1"/>
      <c r="N24" s="1"/>
      <c r="O24" s="11">
        <f t="shared" si="0"/>
        <v>0</v>
      </c>
      <c r="P24" s="11"/>
      <c r="Q24" s="11"/>
      <c r="R24" s="11"/>
      <c r="S24" s="11"/>
    </row>
    <row r="25" spans="1:19">
      <c r="A25" s="10">
        <v>23</v>
      </c>
      <c r="B25" s="9"/>
      <c r="C25" s="1"/>
      <c r="D25" s="10" t="s">
        <v>18</v>
      </c>
      <c r="E25" s="10">
        <v>9</v>
      </c>
      <c r="F25" s="9"/>
      <c r="G25" s="1"/>
      <c r="H25" s="1"/>
      <c r="I25" s="1"/>
      <c r="J25" s="1"/>
      <c r="K25" s="1"/>
      <c r="L25" s="1"/>
      <c r="M25" s="1"/>
      <c r="N25" s="1"/>
      <c r="O25" s="11">
        <f t="shared" si="0"/>
        <v>0</v>
      </c>
      <c r="P25" s="11"/>
      <c r="Q25" s="11"/>
      <c r="R25" s="11"/>
      <c r="S25" s="11"/>
    </row>
    <row r="26" spans="1:19">
      <c r="A26" s="10">
        <v>24</v>
      </c>
      <c r="B26" s="9"/>
      <c r="C26" s="1"/>
      <c r="D26" s="10" t="s">
        <v>18</v>
      </c>
      <c r="E26" s="10">
        <v>9</v>
      </c>
      <c r="F26" s="9"/>
      <c r="G26" s="1"/>
      <c r="H26" s="1"/>
      <c r="I26" s="1"/>
      <c r="J26" s="1"/>
      <c r="K26" s="1"/>
      <c r="L26" s="1"/>
      <c r="M26" s="1"/>
      <c r="N26" s="1"/>
      <c r="O26" s="11">
        <f t="shared" si="0"/>
        <v>0</v>
      </c>
      <c r="P26" s="11"/>
      <c r="Q26" s="11"/>
      <c r="R26" s="11"/>
      <c r="S26" s="11"/>
    </row>
    <row r="27" spans="1:19">
      <c r="A27" s="10">
        <v>25</v>
      </c>
      <c r="B27" s="9"/>
      <c r="C27" s="1"/>
      <c r="D27" s="10" t="s">
        <v>18</v>
      </c>
      <c r="E27" s="10">
        <v>9</v>
      </c>
      <c r="F27" s="9"/>
      <c r="G27" s="1"/>
      <c r="H27" s="1"/>
      <c r="I27" s="1"/>
      <c r="J27" s="1"/>
      <c r="K27" s="1"/>
      <c r="L27" s="1"/>
      <c r="M27" s="1"/>
      <c r="N27" s="1"/>
      <c r="O27" s="11">
        <f t="shared" si="0"/>
        <v>0</v>
      </c>
      <c r="P27" s="11"/>
      <c r="Q27" s="11"/>
      <c r="R27" s="11"/>
      <c r="S27" s="11"/>
    </row>
    <row r="28" spans="1:19">
      <c r="A28" s="10">
        <v>26</v>
      </c>
      <c r="B28" s="9"/>
      <c r="C28" s="1"/>
      <c r="D28" s="10" t="s">
        <v>18</v>
      </c>
      <c r="E28" s="10">
        <v>10</v>
      </c>
      <c r="F28" s="9"/>
      <c r="G28" s="1"/>
      <c r="H28" s="1"/>
      <c r="I28" s="1"/>
      <c r="J28" s="1"/>
      <c r="K28" s="1"/>
      <c r="L28" s="1"/>
      <c r="M28" s="1"/>
      <c r="N28" s="1"/>
      <c r="O28" s="11">
        <f t="shared" si="0"/>
        <v>0</v>
      </c>
      <c r="P28" s="11"/>
      <c r="Q28" s="11"/>
      <c r="R28" s="11"/>
      <c r="S28" s="11"/>
    </row>
    <row r="29" spans="1:19">
      <c r="A29" s="10">
        <v>27</v>
      </c>
      <c r="B29" s="9"/>
      <c r="C29" s="1"/>
      <c r="D29" s="10" t="s">
        <v>18</v>
      </c>
      <c r="E29" s="10">
        <v>10</v>
      </c>
      <c r="F29" s="9"/>
      <c r="G29" s="1"/>
      <c r="H29" s="1"/>
      <c r="I29" s="1"/>
      <c r="J29" s="1"/>
      <c r="K29" s="1"/>
      <c r="L29" s="1"/>
      <c r="M29" s="1"/>
      <c r="N29" s="1"/>
      <c r="O29" s="11">
        <f t="shared" si="0"/>
        <v>0</v>
      </c>
      <c r="P29" s="11"/>
      <c r="Q29" s="11"/>
      <c r="R29" s="11"/>
      <c r="S29" s="11"/>
    </row>
    <row r="30" spans="1:19">
      <c r="A30" s="10">
        <v>28</v>
      </c>
      <c r="B30" s="9"/>
      <c r="C30" s="1"/>
      <c r="D30" s="10" t="s">
        <v>18</v>
      </c>
      <c r="E30" s="10">
        <v>10</v>
      </c>
      <c r="F30" s="9"/>
      <c r="G30" s="1"/>
      <c r="H30" s="1"/>
      <c r="I30" s="1"/>
      <c r="J30" s="1"/>
      <c r="K30" s="1"/>
      <c r="L30" s="1"/>
      <c r="M30" s="1"/>
      <c r="N30" s="1"/>
      <c r="O30" s="11">
        <f t="shared" si="0"/>
        <v>0</v>
      </c>
      <c r="P30" s="11"/>
      <c r="Q30" s="11"/>
      <c r="R30" s="11"/>
      <c r="S30" s="11"/>
    </row>
    <row r="31" spans="1:19">
      <c r="A31" s="10">
        <v>29</v>
      </c>
      <c r="B31" s="9"/>
      <c r="C31" s="1"/>
      <c r="D31" s="10" t="s">
        <v>18</v>
      </c>
      <c r="E31" s="10">
        <v>10</v>
      </c>
      <c r="F31" s="9"/>
      <c r="G31" s="1"/>
      <c r="H31" s="1"/>
      <c r="I31" s="1"/>
      <c r="J31" s="1"/>
      <c r="K31" s="1"/>
      <c r="L31" s="1"/>
      <c r="M31" s="1"/>
      <c r="N31" s="1"/>
      <c r="O31" s="11">
        <f t="shared" si="0"/>
        <v>0</v>
      </c>
      <c r="P31" s="11"/>
      <c r="Q31" s="11"/>
      <c r="R31" s="11"/>
      <c r="S31" s="11"/>
    </row>
    <row r="32" spans="1:19">
      <c r="A32" s="10">
        <v>30</v>
      </c>
      <c r="B32" s="9"/>
      <c r="C32" s="1"/>
      <c r="D32" s="10" t="s">
        <v>18</v>
      </c>
      <c r="E32" s="10">
        <v>10</v>
      </c>
      <c r="F32" s="9"/>
      <c r="G32" s="1"/>
      <c r="H32" s="1"/>
      <c r="I32" s="1"/>
      <c r="J32" s="1"/>
      <c r="K32" s="1"/>
      <c r="L32" s="1"/>
      <c r="M32" s="1"/>
      <c r="N32" s="1"/>
      <c r="O32" s="11">
        <f t="shared" si="0"/>
        <v>0</v>
      </c>
      <c r="P32" s="11"/>
      <c r="Q32" s="11"/>
      <c r="R32" s="11"/>
      <c r="S32" s="11"/>
    </row>
    <row r="33" spans="1:19">
      <c r="A33" s="10">
        <v>31</v>
      </c>
      <c r="B33" s="9"/>
      <c r="C33" s="1"/>
      <c r="D33" s="10" t="s">
        <v>18</v>
      </c>
      <c r="E33" s="10">
        <v>11</v>
      </c>
      <c r="F33" s="9"/>
      <c r="G33" s="1"/>
      <c r="H33" s="1"/>
      <c r="I33" s="1"/>
      <c r="J33" s="1"/>
      <c r="K33" s="1"/>
      <c r="L33" s="1"/>
      <c r="M33" s="1"/>
      <c r="N33" s="1"/>
      <c r="O33" s="11">
        <f t="shared" si="0"/>
        <v>0</v>
      </c>
      <c r="P33" s="11"/>
      <c r="Q33" s="11"/>
      <c r="R33" s="11"/>
      <c r="S33" s="11"/>
    </row>
    <row r="34" spans="1:19">
      <c r="A34" s="10">
        <v>32</v>
      </c>
      <c r="B34" s="9"/>
      <c r="C34" s="1"/>
      <c r="D34" s="10" t="s">
        <v>18</v>
      </c>
      <c r="E34" s="10">
        <v>11</v>
      </c>
      <c r="F34" s="9"/>
      <c r="G34" s="1"/>
      <c r="H34" s="1"/>
      <c r="I34" s="1"/>
      <c r="J34" s="1"/>
      <c r="K34" s="1"/>
      <c r="L34" s="1"/>
      <c r="M34" s="1"/>
      <c r="N34" s="1"/>
      <c r="O34" s="11">
        <f t="shared" si="0"/>
        <v>0</v>
      </c>
      <c r="P34" s="11"/>
      <c r="Q34" s="11"/>
      <c r="R34" s="11"/>
      <c r="S34" s="11"/>
    </row>
    <row r="35" spans="1:19">
      <c r="A35" s="10">
        <v>33</v>
      </c>
      <c r="B35" s="9"/>
      <c r="C35" s="1"/>
      <c r="D35" s="10" t="s">
        <v>18</v>
      </c>
      <c r="E35" s="10">
        <v>11</v>
      </c>
      <c r="F35" s="9"/>
      <c r="G35" s="1"/>
      <c r="H35" s="1"/>
      <c r="I35" s="1"/>
      <c r="J35" s="1"/>
      <c r="K35" s="1"/>
      <c r="L35" s="1"/>
      <c r="M35" s="1"/>
      <c r="N35" s="1"/>
      <c r="O35" s="11">
        <f t="shared" si="0"/>
        <v>0</v>
      </c>
      <c r="P35" s="11"/>
      <c r="Q35" s="11"/>
      <c r="R35" s="11"/>
      <c r="S35" s="11"/>
    </row>
    <row r="36" spans="1:19">
      <c r="A36" s="10">
        <v>34</v>
      </c>
      <c r="B36" s="9"/>
      <c r="C36" s="1"/>
      <c r="D36" s="10" t="s">
        <v>18</v>
      </c>
      <c r="E36" s="10">
        <v>11</v>
      </c>
      <c r="F36" s="9"/>
      <c r="G36" s="1"/>
      <c r="H36" s="1"/>
      <c r="I36" s="1"/>
      <c r="J36" s="1"/>
      <c r="K36" s="1"/>
      <c r="L36" s="1"/>
      <c r="M36" s="1"/>
      <c r="N36" s="1"/>
      <c r="O36" s="11">
        <f t="shared" si="0"/>
        <v>0</v>
      </c>
      <c r="P36" s="11"/>
      <c r="Q36" s="11"/>
      <c r="R36" s="11"/>
      <c r="S36" s="11"/>
    </row>
    <row r="37" spans="1:19">
      <c r="A37" s="10">
        <v>35</v>
      </c>
      <c r="B37" s="9"/>
      <c r="C37" s="1"/>
      <c r="D37" s="10" t="s">
        <v>18</v>
      </c>
      <c r="E37" s="10">
        <v>11</v>
      </c>
      <c r="F37" s="9"/>
      <c r="G37" s="1"/>
      <c r="H37" s="1"/>
      <c r="I37" s="1"/>
      <c r="J37" s="1"/>
      <c r="K37" s="1"/>
      <c r="L37" s="1"/>
      <c r="M37" s="1"/>
      <c r="N37" s="1"/>
      <c r="O37" s="11">
        <f t="shared" si="0"/>
        <v>0</v>
      </c>
      <c r="P37" s="11"/>
      <c r="Q37" s="11"/>
      <c r="R37" s="11"/>
      <c r="S37" s="11"/>
    </row>
  </sheetData>
  <mergeCells count="1">
    <mergeCell ref="G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7 кл</vt:lpstr>
      <vt:lpstr>8 кл</vt:lpstr>
      <vt:lpstr>9 кл</vt:lpstr>
      <vt:lpstr>10 кл</vt:lpstr>
      <vt:lpstr>11 кл</vt:lpstr>
      <vt:lpstr>СОШ №2</vt:lpstr>
      <vt:lpstr>СОШ №3</vt:lpstr>
      <vt:lpstr>СОШ №7</vt:lpstr>
      <vt:lpstr>СОШ №12</vt:lpstr>
      <vt:lpstr>СОШ №16</vt:lpstr>
      <vt:lpstr>СОШ №18</vt:lpstr>
      <vt:lpstr>СОШ №20</vt:lpstr>
      <vt:lpstr>СОШ №21</vt:lpstr>
      <vt:lpstr>ООШ №26</vt:lpstr>
      <vt:lpstr>СОШ №29</vt:lpstr>
      <vt:lpstr>СОШ №30 </vt:lpstr>
      <vt:lpstr>СОШ №32</vt:lpstr>
      <vt:lpstr>СОШ №42</vt:lpstr>
      <vt:lpstr>СОШ п. Бурный</vt:lpstr>
      <vt:lpstr>ООШ с. Безымянное</vt:lpstr>
      <vt:lpstr>ООШ п. Взлетный</vt:lpstr>
      <vt:lpstr>СОШ с. Воскресенка</vt:lpstr>
      <vt:lpstr>СОШ с. Генеральское</vt:lpstr>
      <vt:lpstr>СОШ с. Заветное</vt:lpstr>
      <vt:lpstr>СОШ с. Красный Яр</vt:lpstr>
      <vt:lpstr>СОШ с. Квасниковка</vt:lpstr>
      <vt:lpstr>СОШ с. Кирово</vt:lpstr>
      <vt:lpstr>СОШ п.Коминтерн</vt:lpstr>
      <vt:lpstr>ООШ п. Лощинный</vt:lpstr>
      <vt:lpstr>СОШ с. Липовка</vt:lpstr>
      <vt:lpstr>ООШ с. Подстепное</vt:lpstr>
      <vt:lpstr>СОШ п. Пробуждение</vt:lpstr>
      <vt:lpstr>СОШ с. Терновка</vt:lpstr>
      <vt:lpstr>СОШ с. Узморье</vt:lpstr>
      <vt:lpstr>СОШ с. Широкополье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2021-10-24T12:18:48Z</dcterms:created>
  <dcterms:modified xsi:type="dcterms:W3CDTF">2021-12-10T09:12:07Z</dcterms:modified>
</cp:coreProperties>
</file>