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4. ВсОШ\2021-2022\1Итоговые протоколы ШЭ\"/>
    </mc:Choice>
  </mc:AlternateContent>
  <bookViews>
    <workbookView xWindow="0" yWindow="0" windowWidth="21570" windowHeight="7545"/>
  </bookViews>
  <sheets>
    <sheet name="5 кл" sheetId="2" r:id="rId1"/>
    <sheet name="6 кл" sheetId="3" r:id="rId2"/>
    <sheet name="7 кл" sheetId="4" r:id="rId3"/>
    <sheet name="8 кл" sheetId="5" r:id="rId4"/>
    <sheet name="9 кл" sheetId="6" r:id="rId5"/>
    <sheet name="10 кл" sheetId="7" r:id="rId6"/>
    <sheet name="11 кл" sheetId="8" r:id="rId7"/>
    <sheet name="СОШ №2" sheetId="10" state="hidden" r:id="rId8"/>
    <sheet name="СОШ №3" sheetId="11" state="hidden" r:id="rId9"/>
    <sheet name="СОШ №7" sheetId="15" state="hidden" r:id="rId10"/>
    <sheet name="СОШ №12" sheetId="18" state="hidden" r:id="rId11"/>
    <sheet name="СОШ №16" sheetId="21" state="hidden" r:id="rId12"/>
    <sheet name="СОШ №18" sheetId="22" state="hidden" r:id="rId13"/>
    <sheet name="СОШ №20" sheetId="24" state="hidden" r:id="rId14"/>
    <sheet name="СОШ №21" sheetId="25" state="hidden" r:id="rId15"/>
    <sheet name="ООШ №26" sheetId="27" state="hidden" r:id="rId16"/>
    <sheet name="СОШ №29" sheetId="28" state="hidden" r:id="rId17"/>
    <sheet name="СОШ №30 " sheetId="29" state="hidden" r:id="rId18"/>
    <sheet name="СОШ №32" sheetId="31" state="hidden" r:id="rId19"/>
    <sheet name="СОШ №42" sheetId="33" state="hidden" r:id="rId20"/>
    <sheet name="СОШ п. Бурный" sheetId="36" state="hidden" r:id="rId21"/>
    <sheet name="ООШ с. Безымянное" sheetId="38" state="hidden" r:id="rId22"/>
    <sheet name="ООШ п. Взлетный" sheetId="40" state="hidden" r:id="rId23"/>
    <sheet name="СОШ с. Воскресенка" sheetId="41" state="hidden" r:id="rId24"/>
    <sheet name="СОШ с. Генеральское" sheetId="42" state="hidden" r:id="rId25"/>
    <sheet name="СОШ с. Заветное" sheetId="43" state="hidden" r:id="rId26"/>
    <sheet name="СОШ с. Красный Яр" sheetId="45" state="hidden" r:id="rId27"/>
    <sheet name="СОШ с. Квасниковка" sheetId="46" state="hidden" r:id="rId28"/>
    <sheet name="СОШ с. Кирово" sheetId="47" state="hidden" r:id="rId29"/>
    <sheet name="СОШ п.Коминтерн" sheetId="48" state="hidden" r:id="rId30"/>
    <sheet name="ООШ п. Лощинный" sheetId="50" state="hidden" r:id="rId31"/>
    <sheet name="СОШ с. Липовка" sheetId="51" state="hidden" r:id="rId32"/>
    <sheet name="ООШ с. Подстепное" sheetId="55" state="hidden" r:id="rId33"/>
    <sheet name="СОШ п. Пробуждение" sheetId="56" state="hidden" r:id="rId34"/>
    <sheet name="СОШ с. Терновка" sheetId="58" state="hidden" r:id="rId35"/>
    <sheet name="СОШ с. Узморье" sheetId="59" state="hidden" r:id="rId36"/>
    <sheet name="СОШ с. Широкополье" sheetId="60" state="hidden" r:id="rId37"/>
  </sheets>
  <calcPr calcId="152511"/>
</workbook>
</file>

<file path=xl/calcChain.xml><?xml version="1.0" encoding="utf-8"?>
<calcChain xmlns="http://schemas.openxmlformats.org/spreadsheetml/2006/main">
  <c r="K20" i="5" l="1"/>
  <c r="M20" i="5" s="1"/>
  <c r="K7" i="5"/>
  <c r="M7" i="5" s="1"/>
  <c r="D53" i="4"/>
  <c r="F64" i="6"/>
  <c r="J23" i="8"/>
  <c r="B53" i="4"/>
  <c r="G64" i="6"/>
  <c r="K23" i="8"/>
  <c r="F53" i="4"/>
  <c r="D64" i="6"/>
  <c r="H23" i="8"/>
  <c r="E53" i="4"/>
  <c r="E64" i="6"/>
  <c r="I23" i="8"/>
  <c r="B50" i="4"/>
  <c r="F94" i="4"/>
  <c r="H78" i="3"/>
  <c r="G53" i="4"/>
  <c r="B94" i="4"/>
  <c r="F52" i="4"/>
  <c r="B55" i="5"/>
  <c r="E51" i="4"/>
  <c r="E52" i="4"/>
  <c r="D55" i="5"/>
  <c r="D51" i="4"/>
  <c r="K52" i="4"/>
  <c r="H64" i="6"/>
  <c r="G51" i="4"/>
  <c r="G52" i="4"/>
  <c r="I64" i="6"/>
  <c r="F51" i="4"/>
  <c r="G50" i="4"/>
  <c r="G46" i="6"/>
  <c r="E94" i="4"/>
  <c r="K94" i="4"/>
  <c r="G94" i="4"/>
  <c r="F23" i="8"/>
  <c r="D23" i="8"/>
  <c r="B63" i="6"/>
  <c r="G55" i="5"/>
  <c r="F50" i="4"/>
  <c r="D63" i="6"/>
  <c r="H55" i="5"/>
  <c r="E50" i="4"/>
  <c r="D52" i="4"/>
  <c r="E55" i="5"/>
  <c r="B51" i="4"/>
  <c r="B52" i="4"/>
  <c r="F55" i="5"/>
  <c r="J78" i="3"/>
  <c r="I32" i="6"/>
  <c r="D94" i="4"/>
  <c r="E23" i="8"/>
  <c r="G63" i="6"/>
  <c r="D69" i="3"/>
  <c r="J94" i="2"/>
  <c r="H63" i="6"/>
  <c r="E69" i="3"/>
  <c r="J95" i="2"/>
  <c r="E63" i="6"/>
  <c r="I55" i="5"/>
  <c r="D50" i="4"/>
  <c r="F63" i="6"/>
  <c r="B69" i="3"/>
  <c r="B23" i="8"/>
  <c r="D32" i="6"/>
  <c r="B64" i="6"/>
  <c r="H32" i="6"/>
  <c r="E65" i="6"/>
  <c r="D46" i="6"/>
  <c r="I7" i="4"/>
  <c r="F65" i="6"/>
  <c r="E46" i="6"/>
  <c r="B78" i="3"/>
  <c r="B65" i="6"/>
  <c r="I63" i="6"/>
  <c r="F69" i="3"/>
  <c r="D65" i="6"/>
  <c r="B46" i="6"/>
  <c r="G69" i="3"/>
  <c r="D11" i="3"/>
  <c r="E78" i="3"/>
  <c r="F32" i="6"/>
  <c r="B32" i="6"/>
  <c r="K53" i="4"/>
  <c r="G32" i="6"/>
  <c r="I65" i="6"/>
  <c r="H46" i="6"/>
  <c r="F78" i="3"/>
  <c r="F16" i="4"/>
  <c r="I46" i="6"/>
  <c r="G78" i="3"/>
  <c r="G65" i="6"/>
  <c r="F46" i="6"/>
  <c r="D78" i="3"/>
  <c r="H65" i="6"/>
  <c r="E32" i="6"/>
  <c r="I78" i="3"/>
  <c r="G23" i="8"/>
  <c r="M52" i="4" l="1"/>
  <c r="M94" i="4"/>
  <c r="M53" i="4"/>
  <c r="O23" i="8"/>
  <c r="Q23" i="8" s="1"/>
  <c r="K64" i="6"/>
  <c r="M64" i="6" s="1"/>
  <c r="K32" i="6"/>
  <c r="M32" i="6" s="1"/>
  <c r="K46" i="6"/>
  <c r="M46" i="6" s="1"/>
  <c r="K63" i="6"/>
  <c r="M63" i="6" s="1"/>
  <c r="K65" i="6"/>
  <c r="M65" i="6" s="1"/>
  <c r="K55" i="5"/>
  <c r="M55" i="5" s="1"/>
  <c r="M78" i="3"/>
  <c r="O78" i="3" s="1"/>
  <c r="M69" i="3"/>
  <c r="O69" i="3" s="1"/>
  <c r="K50" i="4"/>
  <c r="M50" i="4" s="1"/>
  <c r="K51" i="4"/>
  <c r="M51" i="4" s="1"/>
  <c r="O37" i="60"/>
  <c r="O36" i="60"/>
  <c r="O35" i="60"/>
  <c r="O34" i="60"/>
  <c r="O33" i="60"/>
  <c r="O32" i="60"/>
  <c r="O31" i="60"/>
  <c r="O30" i="60"/>
  <c r="O29" i="60"/>
  <c r="O28" i="60"/>
  <c r="O27" i="60"/>
  <c r="O26" i="60"/>
  <c r="O25" i="60"/>
  <c r="O24" i="60"/>
  <c r="O23" i="60"/>
  <c r="O22" i="60"/>
  <c r="O21" i="60"/>
  <c r="O20" i="60"/>
  <c r="O19" i="60"/>
  <c r="O18" i="60"/>
  <c r="O17" i="60"/>
  <c r="O16" i="60"/>
  <c r="O15" i="60"/>
  <c r="O14" i="60"/>
  <c r="O13" i="60"/>
  <c r="O12" i="60"/>
  <c r="O11" i="60"/>
  <c r="O10" i="60"/>
  <c r="O9" i="60"/>
  <c r="O8" i="60"/>
  <c r="O7" i="60"/>
  <c r="O6" i="60"/>
  <c r="O5" i="60"/>
  <c r="O4" i="60"/>
  <c r="O3" i="60"/>
  <c r="O37" i="59"/>
  <c r="O36" i="59"/>
  <c r="O35" i="59"/>
  <c r="O34" i="59"/>
  <c r="O33" i="59"/>
  <c r="O32" i="59"/>
  <c r="O31" i="59"/>
  <c r="O30" i="59"/>
  <c r="O29" i="59"/>
  <c r="O28" i="59"/>
  <c r="O27" i="59"/>
  <c r="O26" i="59"/>
  <c r="O25" i="59"/>
  <c r="O24" i="59"/>
  <c r="O23" i="59"/>
  <c r="O22" i="59"/>
  <c r="O21" i="59"/>
  <c r="O20" i="59"/>
  <c r="O19" i="59"/>
  <c r="O18" i="59"/>
  <c r="O17" i="59"/>
  <c r="O16" i="59"/>
  <c r="O15" i="59"/>
  <c r="O14" i="59"/>
  <c r="O13" i="59"/>
  <c r="O12" i="59"/>
  <c r="O11" i="59"/>
  <c r="O10" i="59"/>
  <c r="O9" i="59"/>
  <c r="O8" i="59"/>
  <c r="O7" i="59"/>
  <c r="O6" i="59"/>
  <c r="O5" i="59"/>
  <c r="O4" i="59"/>
  <c r="O3" i="59"/>
  <c r="O37" i="58"/>
  <c r="O36" i="58"/>
  <c r="O35" i="58"/>
  <c r="O34" i="58"/>
  <c r="O33" i="58"/>
  <c r="O32" i="58"/>
  <c r="O31" i="58"/>
  <c r="O30" i="58"/>
  <c r="O29" i="58"/>
  <c r="O28" i="58"/>
  <c r="O27" i="58"/>
  <c r="O26" i="58"/>
  <c r="O25" i="58"/>
  <c r="O24" i="58"/>
  <c r="O23" i="58"/>
  <c r="O22" i="58"/>
  <c r="O21" i="58"/>
  <c r="O20" i="58"/>
  <c r="O19" i="58"/>
  <c r="O18" i="58"/>
  <c r="O17" i="58"/>
  <c r="O16" i="58"/>
  <c r="O15" i="58"/>
  <c r="O14" i="58"/>
  <c r="O13" i="58"/>
  <c r="O12" i="58"/>
  <c r="O11" i="58"/>
  <c r="O10" i="58"/>
  <c r="O9" i="58"/>
  <c r="O8" i="58"/>
  <c r="O7" i="58"/>
  <c r="O6" i="58"/>
  <c r="O5" i="58"/>
  <c r="O4" i="58"/>
  <c r="O3" i="58"/>
  <c r="O37" i="56"/>
  <c r="O36" i="56"/>
  <c r="O35" i="56"/>
  <c r="O34" i="56"/>
  <c r="O33" i="56"/>
  <c r="O32" i="56"/>
  <c r="O31" i="56"/>
  <c r="O30" i="56"/>
  <c r="O29" i="56"/>
  <c r="O28" i="56"/>
  <c r="O27" i="56"/>
  <c r="O26" i="56"/>
  <c r="O25" i="56"/>
  <c r="O24" i="56"/>
  <c r="O23" i="56"/>
  <c r="O22" i="56"/>
  <c r="O21" i="56"/>
  <c r="O20" i="56"/>
  <c r="O19" i="56"/>
  <c r="O18" i="56"/>
  <c r="O17" i="56"/>
  <c r="O16" i="56"/>
  <c r="O15" i="56"/>
  <c r="O14" i="56"/>
  <c r="O13" i="56"/>
  <c r="O12" i="56"/>
  <c r="O11" i="56"/>
  <c r="O10" i="56"/>
  <c r="O9" i="56"/>
  <c r="O8" i="56"/>
  <c r="O7" i="56"/>
  <c r="O6" i="56"/>
  <c r="O5" i="56"/>
  <c r="O4" i="56"/>
  <c r="O3" i="56"/>
  <c r="O37" i="55"/>
  <c r="O36" i="55"/>
  <c r="O35" i="55"/>
  <c r="O34" i="55"/>
  <c r="O33" i="55"/>
  <c r="O32" i="55"/>
  <c r="O31" i="55"/>
  <c r="O30" i="55"/>
  <c r="O29" i="55"/>
  <c r="O28" i="55"/>
  <c r="O27" i="55"/>
  <c r="O26" i="55"/>
  <c r="O25" i="55"/>
  <c r="O24" i="55"/>
  <c r="O23" i="55"/>
  <c r="O22" i="55"/>
  <c r="O21" i="55"/>
  <c r="O20" i="55"/>
  <c r="O19" i="55"/>
  <c r="O18" i="55"/>
  <c r="O17" i="55"/>
  <c r="O16" i="55"/>
  <c r="O15" i="55"/>
  <c r="O14" i="55"/>
  <c r="O13" i="55"/>
  <c r="O12" i="55"/>
  <c r="O11" i="55"/>
  <c r="O10" i="55"/>
  <c r="O9" i="55"/>
  <c r="O8" i="55"/>
  <c r="O7" i="55"/>
  <c r="O6" i="55"/>
  <c r="O5" i="55"/>
  <c r="O4" i="55"/>
  <c r="O3" i="55"/>
  <c r="O37" i="51"/>
  <c r="O36" i="51"/>
  <c r="O35" i="51"/>
  <c r="O34" i="51"/>
  <c r="O33" i="51"/>
  <c r="O32" i="51"/>
  <c r="O31" i="51"/>
  <c r="O30" i="51"/>
  <c r="O29" i="51"/>
  <c r="O28" i="51"/>
  <c r="O27" i="51"/>
  <c r="O26" i="51"/>
  <c r="O25" i="51"/>
  <c r="O24" i="51"/>
  <c r="O23" i="51"/>
  <c r="O22" i="51"/>
  <c r="O21" i="51"/>
  <c r="O20" i="51"/>
  <c r="O19" i="51"/>
  <c r="O18" i="51"/>
  <c r="O17" i="51"/>
  <c r="O16" i="51"/>
  <c r="O15" i="51"/>
  <c r="O14" i="51"/>
  <c r="O13" i="51"/>
  <c r="O12" i="51"/>
  <c r="O11" i="51"/>
  <c r="O10" i="51"/>
  <c r="O9" i="51"/>
  <c r="O8" i="51"/>
  <c r="O7" i="51"/>
  <c r="O6" i="51"/>
  <c r="O5" i="51"/>
  <c r="O4" i="51"/>
  <c r="O3" i="51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O4" i="50"/>
  <c r="O3" i="50"/>
  <c r="O37" i="48"/>
  <c r="O36" i="48"/>
  <c r="O35" i="48"/>
  <c r="O34" i="48"/>
  <c r="O33" i="48"/>
  <c r="O32" i="48"/>
  <c r="O31" i="48"/>
  <c r="O30" i="48"/>
  <c r="O29" i="48"/>
  <c r="O28" i="48"/>
  <c r="O27" i="48"/>
  <c r="O26" i="48"/>
  <c r="O25" i="48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37" i="46"/>
  <c r="O36" i="46"/>
  <c r="O35" i="46"/>
  <c r="O34" i="46"/>
  <c r="O33" i="46"/>
  <c r="O32" i="46"/>
  <c r="O31" i="46"/>
  <c r="O30" i="46"/>
  <c r="O29" i="46"/>
  <c r="O28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O14" i="46"/>
  <c r="O13" i="46"/>
  <c r="O12" i="46"/>
  <c r="O11" i="46"/>
  <c r="O10" i="46"/>
  <c r="O9" i="46"/>
  <c r="O8" i="46"/>
  <c r="O7" i="46"/>
  <c r="O6" i="46"/>
  <c r="O5" i="46"/>
  <c r="O4" i="46"/>
  <c r="O3" i="46"/>
  <c r="O37" i="45"/>
  <c r="O36" i="45"/>
  <c r="O35" i="45"/>
  <c r="O34" i="45"/>
  <c r="O33" i="45"/>
  <c r="O32" i="45"/>
  <c r="O31" i="45"/>
  <c r="O30" i="45"/>
  <c r="O29" i="45"/>
  <c r="O28" i="45"/>
  <c r="O27" i="45"/>
  <c r="O26" i="45"/>
  <c r="O25" i="45"/>
  <c r="O24" i="45"/>
  <c r="O23" i="45"/>
  <c r="O22" i="45"/>
  <c r="O21" i="45"/>
  <c r="O20" i="45"/>
  <c r="O19" i="45"/>
  <c r="O18" i="45"/>
  <c r="O17" i="45"/>
  <c r="O16" i="45"/>
  <c r="O15" i="45"/>
  <c r="O14" i="45"/>
  <c r="O13" i="45"/>
  <c r="O12" i="45"/>
  <c r="O11" i="45"/>
  <c r="O10" i="45"/>
  <c r="O9" i="45"/>
  <c r="O8" i="45"/>
  <c r="O7" i="45"/>
  <c r="O6" i="45"/>
  <c r="O5" i="45"/>
  <c r="O4" i="45"/>
  <c r="O3" i="45"/>
  <c r="O37" i="43"/>
  <c r="O36" i="43"/>
  <c r="O35" i="43"/>
  <c r="O34" i="43"/>
  <c r="O33" i="43"/>
  <c r="O32" i="43"/>
  <c r="O31" i="43"/>
  <c r="O30" i="43"/>
  <c r="O29" i="43"/>
  <c r="O28" i="43"/>
  <c r="O27" i="43"/>
  <c r="O26" i="43"/>
  <c r="O25" i="43"/>
  <c r="O24" i="43"/>
  <c r="O23" i="43"/>
  <c r="O22" i="43"/>
  <c r="O21" i="43"/>
  <c r="O20" i="43"/>
  <c r="O19" i="43"/>
  <c r="O18" i="43"/>
  <c r="O17" i="43"/>
  <c r="O16" i="43"/>
  <c r="O15" i="43"/>
  <c r="O14" i="43"/>
  <c r="O13" i="43"/>
  <c r="O12" i="43"/>
  <c r="O11" i="43"/>
  <c r="O10" i="43"/>
  <c r="O9" i="43"/>
  <c r="O8" i="43"/>
  <c r="O7" i="43"/>
  <c r="O6" i="43"/>
  <c r="O5" i="43"/>
  <c r="O4" i="43"/>
  <c r="O3" i="43"/>
  <c r="O37" i="42"/>
  <c r="O36" i="42"/>
  <c r="O35" i="42"/>
  <c r="O34" i="42"/>
  <c r="O33" i="42"/>
  <c r="O32" i="42"/>
  <c r="O31" i="42"/>
  <c r="O30" i="42"/>
  <c r="O29" i="42"/>
  <c r="O28" i="42"/>
  <c r="O27" i="42"/>
  <c r="O26" i="42"/>
  <c r="O25" i="42"/>
  <c r="O24" i="42"/>
  <c r="O23" i="42"/>
  <c r="O22" i="42"/>
  <c r="O21" i="42"/>
  <c r="O20" i="42"/>
  <c r="O19" i="42"/>
  <c r="O18" i="42"/>
  <c r="O17" i="42"/>
  <c r="O16" i="42"/>
  <c r="O15" i="42"/>
  <c r="O14" i="42"/>
  <c r="O13" i="42"/>
  <c r="O12" i="42"/>
  <c r="O11" i="42"/>
  <c r="O10" i="42"/>
  <c r="O9" i="42"/>
  <c r="O8" i="42"/>
  <c r="O7" i="42"/>
  <c r="O6" i="42"/>
  <c r="O5" i="42"/>
  <c r="O4" i="42"/>
  <c r="O3" i="42"/>
  <c r="O37" i="41"/>
  <c r="O36" i="41"/>
  <c r="O35" i="41"/>
  <c r="O34" i="41"/>
  <c r="O33" i="41"/>
  <c r="O32" i="41"/>
  <c r="O31" i="41"/>
  <c r="O30" i="41"/>
  <c r="O29" i="41"/>
  <c r="O28" i="41"/>
  <c r="O27" i="41"/>
  <c r="O26" i="41"/>
  <c r="O25" i="41"/>
  <c r="O24" i="41"/>
  <c r="O23" i="41"/>
  <c r="O22" i="41"/>
  <c r="O21" i="41"/>
  <c r="O20" i="41"/>
  <c r="O19" i="41"/>
  <c r="O18" i="41"/>
  <c r="O17" i="41"/>
  <c r="O16" i="41"/>
  <c r="O15" i="41"/>
  <c r="O14" i="41"/>
  <c r="O13" i="41"/>
  <c r="O12" i="41"/>
  <c r="O11" i="41"/>
  <c r="O10" i="41"/>
  <c r="O9" i="41"/>
  <c r="O8" i="41"/>
  <c r="O7" i="41"/>
  <c r="O6" i="41"/>
  <c r="O5" i="41"/>
  <c r="O4" i="41"/>
  <c r="O3" i="41"/>
  <c r="O37" i="40"/>
  <c r="O36" i="40"/>
  <c r="O35" i="40"/>
  <c r="O34" i="40"/>
  <c r="O33" i="40"/>
  <c r="O32" i="40"/>
  <c r="O31" i="40"/>
  <c r="O30" i="40"/>
  <c r="O29" i="40"/>
  <c r="O28" i="40"/>
  <c r="O27" i="40"/>
  <c r="O26" i="40"/>
  <c r="O25" i="40"/>
  <c r="O24" i="40"/>
  <c r="O23" i="40"/>
  <c r="O22" i="40"/>
  <c r="O21" i="40"/>
  <c r="O20" i="40"/>
  <c r="O19" i="40"/>
  <c r="O18" i="40"/>
  <c r="O17" i="40"/>
  <c r="O16" i="40"/>
  <c r="O15" i="40"/>
  <c r="O14" i="40"/>
  <c r="O13" i="40"/>
  <c r="O12" i="40"/>
  <c r="O11" i="40"/>
  <c r="O10" i="40"/>
  <c r="O9" i="40"/>
  <c r="O8" i="40"/>
  <c r="O7" i="40"/>
  <c r="O6" i="40"/>
  <c r="O5" i="40"/>
  <c r="O4" i="40"/>
  <c r="O3" i="40"/>
  <c r="O37" i="38"/>
  <c r="O36" i="38"/>
  <c r="O35" i="38"/>
  <c r="O34" i="38"/>
  <c r="O33" i="38"/>
  <c r="O32" i="38"/>
  <c r="O31" i="38"/>
  <c r="O30" i="38"/>
  <c r="O29" i="38"/>
  <c r="O28" i="38"/>
  <c r="O27" i="38"/>
  <c r="O26" i="38"/>
  <c r="O25" i="38"/>
  <c r="O24" i="38"/>
  <c r="O23" i="38"/>
  <c r="O22" i="38"/>
  <c r="O21" i="38"/>
  <c r="O20" i="38"/>
  <c r="O19" i="38"/>
  <c r="O18" i="38"/>
  <c r="O17" i="38"/>
  <c r="O16" i="38"/>
  <c r="O15" i="38"/>
  <c r="O14" i="38"/>
  <c r="O13" i="38"/>
  <c r="O12" i="38"/>
  <c r="O11" i="38"/>
  <c r="O10" i="38"/>
  <c r="O9" i="38"/>
  <c r="O8" i="38"/>
  <c r="O7" i="38"/>
  <c r="O6" i="38"/>
  <c r="O5" i="38"/>
  <c r="O4" i="38"/>
  <c r="O3" i="38"/>
  <c r="O37" i="36"/>
  <c r="O36" i="36"/>
  <c r="O35" i="36"/>
  <c r="O34" i="36"/>
  <c r="O33" i="36"/>
  <c r="O32" i="36"/>
  <c r="O31" i="36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O8" i="36"/>
  <c r="O7" i="36"/>
  <c r="O6" i="36"/>
  <c r="O5" i="36"/>
  <c r="O4" i="36"/>
  <c r="O3" i="36"/>
  <c r="O37" i="33"/>
  <c r="O36" i="33"/>
  <c r="O35" i="33"/>
  <c r="O34" i="33"/>
  <c r="O33" i="33"/>
  <c r="O32" i="33"/>
  <c r="O31" i="33"/>
  <c r="O30" i="33"/>
  <c r="O29" i="33"/>
  <c r="O28" i="33"/>
  <c r="O27" i="33"/>
  <c r="O26" i="33"/>
  <c r="O25" i="33"/>
  <c r="O24" i="33"/>
  <c r="O23" i="33"/>
  <c r="O22" i="33"/>
  <c r="O21" i="33"/>
  <c r="O20" i="33"/>
  <c r="O19" i="33"/>
  <c r="O18" i="33"/>
  <c r="O17" i="33"/>
  <c r="O16" i="33"/>
  <c r="O15" i="33"/>
  <c r="O14" i="33"/>
  <c r="O13" i="33"/>
  <c r="O12" i="33"/>
  <c r="O11" i="33"/>
  <c r="O10" i="33"/>
  <c r="O9" i="33"/>
  <c r="O8" i="33"/>
  <c r="O7" i="33"/>
  <c r="O6" i="33"/>
  <c r="O5" i="33"/>
  <c r="O4" i="33"/>
  <c r="O3" i="33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O4" i="31"/>
  <c r="O3" i="31"/>
  <c r="O37" i="29"/>
  <c r="O36" i="29"/>
  <c r="O35" i="29"/>
  <c r="O34" i="29"/>
  <c r="O33" i="29"/>
  <c r="O32" i="29"/>
  <c r="O31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5" i="29"/>
  <c r="O4" i="29"/>
  <c r="O3" i="29"/>
  <c r="O37" i="28"/>
  <c r="O36" i="28"/>
  <c r="O35" i="28"/>
  <c r="O34" i="28"/>
  <c r="O33" i="28"/>
  <c r="O32" i="28"/>
  <c r="O31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4" i="28"/>
  <c r="O3" i="28"/>
  <c r="O37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O5" i="27"/>
  <c r="O4" i="27"/>
  <c r="O3" i="27"/>
  <c r="O37" i="25"/>
  <c r="O36" i="25"/>
  <c r="O35" i="25"/>
  <c r="O34" i="25"/>
  <c r="O33" i="25"/>
  <c r="O32" i="25"/>
  <c r="O31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5" i="25"/>
  <c r="O4" i="25"/>
  <c r="O3" i="25"/>
  <c r="O37" i="24"/>
  <c r="O36" i="24"/>
  <c r="O35" i="24"/>
  <c r="O34" i="24"/>
  <c r="O33" i="24"/>
  <c r="O32" i="24"/>
  <c r="O31" i="24"/>
  <c r="O30" i="24"/>
  <c r="O29" i="24"/>
  <c r="O28" i="24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6" i="24"/>
  <c r="O5" i="24"/>
  <c r="O4" i="24"/>
  <c r="O3" i="24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O5" i="22"/>
  <c r="O4" i="22"/>
  <c r="O3" i="22"/>
  <c r="O37" i="21"/>
  <c r="O36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O3" i="21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3" i="15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J45" i="8"/>
  <c r="J47" i="8"/>
  <c r="K21" i="8"/>
  <c r="G33" i="8"/>
  <c r="B19" i="8"/>
  <c r="F38" i="8"/>
  <c r="K37" i="8"/>
  <c r="G28" i="8"/>
  <c r="D20" i="8"/>
  <c r="E49" i="8"/>
  <c r="K35" i="7"/>
  <c r="F30" i="8"/>
  <c r="F14" i="8"/>
  <c r="E53" i="8"/>
  <c r="D26" i="8"/>
  <c r="D35" i="7"/>
  <c r="H45" i="8"/>
  <c r="I21" i="8"/>
  <c r="K12" i="8"/>
  <c r="I37" i="8"/>
  <c r="J24" i="8"/>
  <c r="I35" i="7"/>
  <c r="D14" i="8"/>
  <c r="J49" i="8"/>
  <c r="E32" i="7"/>
  <c r="K13" i="7"/>
  <c r="B22" i="7"/>
  <c r="I10" i="7"/>
  <c r="J49" i="7"/>
  <c r="F24" i="6"/>
  <c r="B44" i="7"/>
  <c r="D13" i="7"/>
  <c r="F45" i="8"/>
  <c r="G21" i="8"/>
  <c r="I12" i="8"/>
  <c r="G37" i="8"/>
  <c r="H24" i="8"/>
  <c r="G35" i="7"/>
  <c r="J28" i="8"/>
  <c r="H49" i="8"/>
  <c r="H16" i="8"/>
  <c r="B12" i="8"/>
  <c r="J8" i="8"/>
  <c r="D28" i="8"/>
  <c r="J44" i="7"/>
  <c r="I21" i="7"/>
  <c r="F49" i="7"/>
  <c r="I43" i="7"/>
  <c r="H20" i="7"/>
  <c r="H37" i="7"/>
  <c r="G25" i="6"/>
  <c r="G50" i="6"/>
  <c r="H16" i="6"/>
  <c r="G8" i="6"/>
  <c r="B68" i="6"/>
  <c r="B57" i="6"/>
  <c r="E55" i="6"/>
  <c r="E81" i="6"/>
  <c r="D30" i="5"/>
  <c r="E90" i="5"/>
  <c r="F40" i="5"/>
  <c r="E11" i="5"/>
  <c r="I38" i="6"/>
  <c r="G91" i="6"/>
  <c r="D45" i="8"/>
  <c r="G12" i="8"/>
  <c r="F24" i="8"/>
  <c r="H28" i="8"/>
  <c r="B32" i="7"/>
  <c r="K21" i="7"/>
  <c r="H49" i="7"/>
  <c r="K43" i="7"/>
  <c r="F20" i="7"/>
  <c r="B25" i="6"/>
  <c r="F16" i="6"/>
  <c r="G59" i="6"/>
  <c r="B55" i="6"/>
  <c r="H47" i="5"/>
  <c r="D40" i="5"/>
  <c r="E38" i="6"/>
  <c r="F17" i="6"/>
  <c r="F8" i="6"/>
  <c r="F75" i="6"/>
  <c r="D42" i="6"/>
  <c r="F66" i="6"/>
  <c r="E30" i="5"/>
  <c r="E46" i="5"/>
  <c r="G81" i="5"/>
  <c r="E89" i="5"/>
  <c r="F26" i="5"/>
  <c r="H87" i="5"/>
  <c r="G78" i="5"/>
  <c r="F85" i="5"/>
  <c r="E32" i="5"/>
  <c r="B18" i="5"/>
  <c r="D84" i="4"/>
  <c r="F16" i="8"/>
  <c r="K44" i="8"/>
  <c r="H8" i="8"/>
  <c r="J41" i="8"/>
  <c r="H40" i="8"/>
  <c r="B7" i="8"/>
  <c r="J43" i="7"/>
  <c r="F36" i="7"/>
  <c r="D20" i="7"/>
  <c r="G24" i="6"/>
  <c r="D16" i="6"/>
  <c r="E59" i="6"/>
  <c r="I15" i="6"/>
  <c r="F47" i="5"/>
  <c r="H15" i="5"/>
  <c r="I51" i="6"/>
  <c r="J16" i="8"/>
  <c r="J15" i="8"/>
  <c r="B21" i="8"/>
  <c r="I50" i="8"/>
  <c r="E12" i="8"/>
  <c r="G54" i="8"/>
  <c r="B37" i="8"/>
  <c r="I41" i="8"/>
  <c r="D24" i="8"/>
  <c r="G35" i="8"/>
  <c r="B35" i="7"/>
  <c r="F29" i="8"/>
  <c r="F28" i="8"/>
  <c r="G20" i="8"/>
  <c r="D49" i="8"/>
  <c r="D34" i="7"/>
  <c r="H10" i="8"/>
  <c r="B38" i="8"/>
  <c r="E44" i="8"/>
  <c r="B9" i="8"/>
  <c r="K7" i="8"/>
  <c r="B34" i="7"/>
  <c r="D41" i="8"/>
  <c r="J34" i="8"/>
  <c r="F44" i="7"/>
  <c r="B13" i="7"/>
  <c r="E21" i="7"/>
  <c r="K38" i="7"/>
  <c r="J36" i="7"/>
  <c r="D72" i="6"/>
  <c r="E43" i="7"/>
  <c r="D16" i="7"/>
  <c r="F10" i="8"/>
  <c r="K45" i="8"/>
  <c r="B44" i="8"/>
  <c r="K36" i="8"/>
  <c r="I7" i="8"/>
  <c r="K18" i="7"/>
  <c r="J27" i="8"/>
  <c r="H34" i="8"/>
  <c r="H50" i="8"/>
  <c r="K11" i="8"/>
  <c r="G17" i="8"/>
  <c r="G25" i="8"/>
  <c r="J14" i="7"/>
  <c r="B20" i="7"/>
  <c r="F48" i="7"/>
  <c r="B14" i="7"/>
  <c r="H11" i="7"/>
  <c r="H29" i="7"/>
  <c r="G72" i="6"/>
  <c r="D49" i="6"/>
  <c r="G60" i="6"/>
  <c r="G21" i="6"/>
  <c r="G35" i="6"/>
  <c r="G83" i="6"/>
  <c r="E15" i="6"/>
  <c r="E66" i="6"/>
  <c r="H83" i="5"/>
  <c r="H100" i="5"/>
  <c r="D15" i="5"/>
  <c r="E23" i="5"/>
  <c r="G87" i="6"/>
  <c r="D50" i="6"/>
  <c r="D33" i="8"/>
  <c r="E22" i="8"/>
  <c r="K17" i="8"/>
  <c r="K25" i="8"/>
  <c r="D43" i="7"/>
  <c r="E20" i="7"/>
  <c r="H48" i="7"/>
  <c r="E14" i="7"/>
  <c r="F31" i="7"/>
  <c r="B51" i="6"/>
  <c r="E70" i="6"/>
  <c r="E85" i="6"/>
  <c r="B20" i="6"/>
  <c r="D97" i="5"/>
  <c r="D89" i="5"/>
  <c r="B86" i="6"/>
  <c r="E13" i="6"/>
  <c r="D21" i="6"/>
  <c r="D84" i="6"/>
  <c r="H55" i="6"/>
  <c r="D88" i="6"/>
  <c r="E47" i="5"/>
  <c r="E71" i="5"/>
  <c r="G80" i="5"/>
  <c r="G39" i="5"/>
  <c r="D68" i="5"/>
  <c r="F8" i="5"/>
  <c r="G86" i="5"/>
  <c r="D99" i="5"/>
  <c r="E44" i="5"/>
  <c r="E24" i="5"/>
  <c r="H46" i="4"/>
  <c r="F50" i="8"/>
  <c r="I11" i="8"/>
  <c r="E17" i="8"/>
  <c r="E25" i="8"/>
  <c r="H12" i="8"/>
  <c r="I25" i="7"/>
  <c r="K8" i="7"/>
  <c r="H14" i="6"/>
  <c r="D31" i="7"/>
  <c r="F87" i="6"/>
  <c r="B70" i="6"/>
  <c r="B85" i="6"/>
  <c r="I27" i="6"/>
  <c r="H96" i="5"/>
  <c r="G28" i="5"/>
  <c r="G79" i="6"/>
  <c r="D19" i="8"/>
  <c r="B34" i="8"/>
  <c r="D26" i="7"/>
  <c r="D62" i="6"/>
  <c r="F10" i="7"/>
  <c r="E22" i="6"/>
  <c r="B12" i="6"/>
  <c r="J10" i="8"/>
  <c r="J19" i="8"/>
  <c r="E38" i="8"/>
  <c r="K39" i="8"/>
  <c r="G44" i="8"/>
  <c r="I52" i="8"/>
  <c r="E9" i="8"/>
  <c r="K27" i="8"/>
  <c r="D8" i="8"/>
  <c r="I34" i="8"/>
  <c r="E34" i="7"/>
  <c r="F18" i="8"/>
  <c r="F41" i="8"/>
  <c r="I24" i="8"/>
  <c r="D35" i="8"/>
  <c r="D18" i="7"/>
  <c r="H33" i="8"/>
  <c r="G16" i="8"/>
  <c r="I22" i="8"/>
  <c r="G43" i="8"/>
  <c r="E13" i="8"/>
  <c r="G7" i="7"/>
  <c r="E51" i="8"/>
  <c r="J41" i="7"/>
  <c r="F43" i="7"/>
  <c r="E16" i="7"/>
  <c r="G20" i="7"/>
  <c r="B38" i="7"/>
  <c r="J48" i="7"/>
  <c r="H51" i="6"/>
  <c r="G14" i="7"/>
  <c r="E42" i="7"/>
  <c r="F33" i="8"/>
  <c r="E16" i="8"/>
  <c r="G22" i="8"/>
  <c r="E43" i="8"/>
  <c r="B13" i="8"/>
  <c r="J54" i="8"/>
  <c r="B51" i="8"/>
  <c r="H41" i="7"/>
  <c r="H15" i="8"/>
  <c r="E54" i="8"/>
  <c r="E35" i="8"/>
  <c r="E20" i="8"/>
  <c r="J26" i="7"/>
  <c r="G31" i="7"/>
  <c r="D39" i="6"/>
  <c r="G26" i="7"/>
  <c r="H31" i="7"/>
  <c r="G19" i="7"/>
  <c r="G51" i="6"/>
  <c r="B48" i="6"/>
  <c r="G70" i="6"/>
  <c r="G69" i="6"/>
  <c r="G85" i="6"/>
  <c r="E82" i="6"/>
  <c r="E20" i="6"/>
  <c r="E88" i="6"/>
  <c r="F97" i="5"/>
  <c r="F41" i="5"/>
  <c r="F89" i="5"/>
  <c r="K49" i="7"/>
  <c r="E86" i="6"/>
  <c r="H48" i="6"/>
  <c r="D47" i="8"/>
  <c r="I54" i="8"/>
  <c r="I35" i="8"/>
  <c r="I20" i="8"/>
  <c r="D27" i="7"/>
  <c r="I31" i="7"/>
  <c r="F39" i="6"/>
  <c r="I26" i="7"/>
  <c r="F15" i="7"/>
  <c r="D78" i="6"/>
  <c r="E23" i="6"/>
  <c r="E84" i="6"/>
  <c r="B41" i="6"/>
  <c r="F17" i="5"/>
  <c r="B38" i="5"/>
  <c r="E77" i="6"/>
  <c r="E16" i="6"/>
  <c r="H44" i="6"/>
  <c r="H90" i="6"/>
  <c r="F15" i="6"/>
  <c r="B26" i="6"/>
  <c r="E83" i="5"/>
  <c r="E75" i="5"/>
  <c r="G54" i="5"/>
  <c r="D38" i="5"/>
  <c r="H25" i="5"/>
  <c r="D21" i="5"/>
  <c r="G14" i="5"/>
  <c r="H60" i="5"/>
  <c r="E48" i="5"/>
  <c r="F49" i="4"/>
  <c r="F33" i="4"/>
  <c r="F15" i="8"/>
  <c r="B54" i="8"/>
  <c r="B35" i="8"/>
  <c r="B20" i="8"/>
  <c r="E45" i="8"/>
  <c r="E18" i="7"/>
  <c r="I16" i="7"/>
  <c r="F38" i="6"/>
  <c r="D15" i="7"/>
  <c r="F77" i="6"/>
  <c r="B23" i="6"/>
  <c r="B84" i="6"/>
  <c r="I12" i="6"/>
  <c r="D17" i="5"/>
  <c r="F74" i="5"/>
  <c r="B77" i="6"/>
  <c r="I45" i="8"/>
  <c r="I18" i="7"/>
  <c r="K16" i="7"/>
  <c r="H38" i="6"/>
  <c r="F29" i="7"/>
  <c r="E21" i="6"/>
  <c r="B66" i="6"/>
  <c r="B23" i="5"/>
  <c r="D31" i="6"/>
  <c r="D83" i="6"/>
  <c r="G80" i="6"/>
  <c r="B100" i="5"/>
  <c r="D92" i="5"/>
  <c r="G36" i="5"/>
  <c r="F84" i="5"/>
  <c r="J40" i="8"/>
  <c r="J12" i="8"/>
  <c r="G45" i="8"/>
  <c r="B39" i="8"/>
  <c r="I32" i="8"/>
  <c r="K31" i="8"/>
  <c r="G36" i="8"/>
  <c r="B27" i="8"/>
  <c r="E7" i="8"/>
  <c r="K25" i="7"/>
  <c r="G18" i="7"/>
  <c r="F37" i="8"/>
  <c r="F27" i="8"/>
  <c r="K8" i="8"/>
  <c r="D34" i="8"/>
  <c r="D7" i="7"/>
  <c r="H39" i="8"/>
  <c r="K40" i="8"/>
  <c r="B11" i="8"/>
  <c r="K14" i="8"/>
  <c r="I26" i="8"/>
  <c r="D52" i="8"/>
  <c r="I46" i="8"/>
  <c r="J45" i="7"/>
  <c r="F14" i="7"/>
  <c r="F42" i="7"/>
  <c r="I11" i="7"/>
  <c r="E30" i="7"/>
  <c r="J47" i="7"/>
  <c r="J17" i="7"/>
  <c r="I27" i="7"/>
  <c r="G40" i="7"/>
  <c r="F39" i="8"/>
  <c r="I40" i="8"/>
  <c r="J21" i="8"/>
  <c r="I14" i="8"/>
  <c r="G26" i="8"/>
  <c r="J31" i="8"/>
  <c r="G46" i="8"/>
  <c r="H45" i="7"/>
  <c r="H32" i="8"/>
  <c r="B30" i="8"/>
  <c r="B41" i="7"/>
  <c r="J13" i="8"/>
  <c r="B8" i="7"/>
  <c r="K15" i="7"/>
  <c r="F52" i="6"/>
  <c r="H24" i="7"/>
  <c r="H39" i="7"/>
  <c r="I9" i="7"/>
  <c r="F86" i="6"/>
  <c r="H33" i="6"/>
  <c r="G31" i="6"/>
  <c r="G44" i="6"/>
  <c r="G75" i="6"/>
  <c r="E34" i="6"/>
  <c r="E27" i="6"/>
  <c r="D26" i="6"/>
  <c r="D96" i="5"/>
  <c r="D19" i="5"/>
  <c r="B28" i="5"/>
  <c r="E36" i="7"/>
  <c r="B79" i="6"/>
  <c r="G18" i="6"/>
  <c r="D44" i="8"/>
  <c r="G30" i="8"/>
  <c r="G41" i="7"/>
  <c r="F7" i="8"/>
  <c r="E8" i="7"/>
  <c r="B39" i="7"/>
  <c r="H52" i="6"/>
  <c r="J24" i="7"/>
  <c r="F38" i="7"/>
  <c r="D19" i="6"/>
  <c r="E9" i="6"/>
  <c r="E90" i="6"/>
  <c r="B89" i="6"/>
  <c r="H71" i="5"/>
  <c r="G92" i="5"/>
  <c r="E19" i="6"/>
  <c r="D60" i="6"/>
  <c r="F30" i="6"/>
  <c r="D58" i="6"/>
  <c r="D20" i="6"/>
  <c r="B40" i="6"/>
  <c r="E97" i="5"/>
  <c r="G42" i="5"/>
  <c r="G56" i="5"/>
  <c r="F53" i="5"/>
  <c r="F22" i="5"/>
  <c r="H52" i="5"/>
  <c r="G13" i="5"/>
  <c r="F33" i="5"/>
  <c r="E31" i="5"/>
  <c r="H87" i="4"/>
  <c r="D22" i="4"/>
  <c r="F32" i="8"/>
  <c r="K29" i="8"/>
  <c r="K46" i="7"/>
  <c r="H13" i="8"/>
  <c r="K48" i="8"/>
  <c r="D37" i="8"/>
  <c r="B12" i="7"/>
  <c r="F33" i="7"/>
  <c r="D38" i="7"/>
  <c r="H45" i="6"/>
  <c r="B9" i="6"/>
  <c r="B90" i="6"/>
  <c r="I54" i="6"/>
  <c r="F71" i="5"/>
  <c r="E92" i="5"/>
  <c r="B19" i="6"/>
  <c r="E39" i="8"/>
  <c r="H37" i="8"/>
  <c r="E12" i="7"/>
  <c r="H33" i="7"/>
  <c r="K47" i="7"/>
  <c r="E36" i="6"/>
  <c r="D80" i="6"/>
  <c r="E62" i="6"/>
  <c r="F9" i="6"/>
  <c r="D43" i="6"/>
  <c r="D11" i="6"/>
  <c r="B19" i="5"/>
  <c r="F23" i="5"/>
  <c r="F35" i="5"/>
  <c r="I72" i="5"/>
  <c r="J33" i="8"/>
  <c r="J44" i="8"/>
  <c r="I16" i="8"/>
  <c r="E48" i="8"/>
  <c r="K22" i="8"/>
  <c r="B31" i="8"/>
  <c r="I43" i="8"/>
  <c r="D51" i="8"/>
  <c r="G13" i="8"/>
  <c r="B25" i="7"/>
  <c r="I7" i="7"/>
  <c r="F9" i="8"/>
  <c r="G51" i="8"/>
  <c r="B8" i="8"/>
  <c r="D25" i="7"/>
  <c r="G17" i="7"/>
  <c r="H47" i="8"/>
  <c r="E33" i="8"/>
  <c r="D38" i="8"/>
  <c r="E28" i="8"/>
  <c r="B49" i="8"/>
  <c r="D30" i="8"/>
  <c r="B53" i="8"/>
  <c r="J34" i="7"/>
  <c r="F27" i="7"/>
  <c r="F40" i="7"/>
  <c r="K31" i="7"/>
  <c r="G37" i="7"/>
  <c r="H39" i="6"/>
  <c r="J28" i="7"/>
  <c r="K26" i="7"/>
  <c r="H12" i="7"/>
  <c r="F47" i="8"/>
  <c r="B33" i="8"/>
  <c r="K54" i="8"/>
  <c r="B28" i="8"/>
  <c r="K35" i="8"/>
  <c r="J29" i="8"/>
  <c r="K20" i="8"/>
  <c r="H34" i="7"/>
  <c r="K38" i="8"/>
  <c r="K9" i="8"/>
  <c r="K34" i="7"/>
  <c r="J35" i="8"/>
  <c r="G13" i="7"/>
  <c r="E10" i="7"/>
  <c r="H72" i="6"/>
  <c r="H16" i="7"/>
  <c r="H15" i="7"/>
  <c r="K36" i="7"/>
  <c r="F78" i="6"/>
  <c r="D71" i="6"/>
  <c r="G23" i="6"/>
  <c r="G30" i="6"/>
  <c r="G84" i="6"/>
  <c r="E43" i="6"/>
  <c r="E41" i="6"/>
  <c r="H73" i="6"/>
  <c r="H17" i="5"/>
  <c r="H81" i="5"/>
  <c r="E38" i="5"/>
  <c r="I47" i="7"/>
  <c r="G77" i="6"/>
  <c r="G33" i="6"/>
  <c r="E21" i="8"/>
  <c r="E37" i="8"/>
  <c r="E35" i="7"/>
  <c r="F49" i="8"/>
  <c r="I13" i="7"/>
  <c r="G10" i="7"/>
  <c r="D24" i="6"/>
  <c r="J16" i="7"/>
  <c r="F37" i="7"/>
  <c r="E50" i="6"/>
  <c r="E8" i="6"/>
  <c r="G74" i="6"/>
  <c r="B81" i="6"/>
  <c r="B90" i="5"/>
  <c r="B11" i="5"/>
  <c r="E91" i="6"/>
  <c r="H31" i="6"/>
  <c r="D36" i="6"/>
  <c r="D74" i="6"/>
  <c r="H41" i="6"/>
  <c r="B73" i="6"/>
  <c r="E96" i="5"/>
  <c r="G100" i="5"/>
  <c r="G16" i="5"/>
  <c r="B70" i="5"/>
  <c r="D73" i="5"/>
  <c r="F51" i="5"/>
  <c r="G12" i="5"/>
  <c r="D59" i="5"/>
  <c r="E43" i="5"/>
  <c r="F47" i="4"/>
  <c r="H10" i="4"/>
  <c r="I38" i="8"/>
  <c r="I9" i="8"/>
  <c r="I34" i="7"/>
  <c r="H35" i="8"/>
  <c r="G32" i="8"/>
  <c r="D27" i="8"/>
  <c r="K20" i="7"/>
  <c r="K14" i="7"/>
  <c r="D37" i="7"/>
  <c r="B50" i="6"/>
  <c r="B8" i="6"/>
  <c r="E74" i="6"/>
  <c r="I66" i="6"/>
  <c r="F42" i="5"/>
  <c r="I23" i="5"/>
  <c r="B91" i="6"/>
  <c r="K32" i="8"/>
  <c r="H27" i="8"/>
  <c r="B21" i="7"/>
  <c r="B43" i="7"/>
  <c r="B72" i="6"/>
  <c r="E35" i="6"/>
  <c r="F83" i="5"/>
  <c r="J50" i="8"/>
  <c r="J32" i="8"/>
  <c r="K10" i="8"/>
  <c r="G47" i="8"/>
  <c r="B22" i="8"/>
  <c r="E30" i="8"/>
  <c r="K42" i="8"/>
  <c r="D25" i="8"/>
  <c r="I17" i="8"/>
  <c r="E41" i="7"/>
  <c r="F54" i="8"/>
  <c r="F36" i="8"/>
  <c r="I25" i="8"/>
  <c r="D7" i="8"/>
  <c r="D41" i="7"/>
  <c r="I28" i="7"/>
  <c r="H19" i="8"/>
  <c r="I39" i="8"/>
  <c r="G52" i="8"/>
  <c r="I27" i="8"/>
  <c r="G34" i="8"/>
  <c r="D18" i="8"/>
  <c r="G24" i="8"/>
  <c r="J7" i="7"/>
  <c r="F26" i="7"/>
  <c r="G12" i="7"/>
  <c r="B31" i="7"/>
  <c r="I29" i="7"/>
  <c r="F62" i="6"/>
  <c r="J33" i="7"/>
  <c r="B26" i="7"/>
  <c r="H23" i="7"/>
  <c r="F19" i="8"/>
  <c r="G39" i="8"/>
  <c r="E52" i="8"/>
  <c r="G27" i="8"/>
  <c r="E34" i="8"/>
  <c r="J37" i="8"/>
  <c r="E24" i="8"/>
  <c r="H7" i="7"/>
  <c r="I10" i="8"/>
  <c r="I42" i="8"/>
  <c r="D54" i="8"/>
  <c r="J46" i="7"/>
  <c r="J42" i="7"/>
  <c r="I30" i="7"/>
  <c r="D51" i="6"/>
  <c r="K40" i="7"/>
  <c r="H10" i="7"/>
  <c r="E48" i="7"/>
  <c r="H76" i="6"/>
  <c r="D37" i="6"/>
  <c r="G22" i="6"/>
  <c r="G36" i="6"/>
  <c r="G28" i="6"/>
  <c r="E67" i="6"/>
  <c r="E12" i="6"/>
  <c r="F80" i="6"/>
  <c r="F93" i="5"/>
  <c r="F80" i="5"/>
  <c r="G53" i="5"/>
  <c r="I62" i="6"/>
  <c r="G76" i="6"/>
  <c r="E71" i="6"/>
  <c r="B16" i="8"/>
  <c r="B43" i="8"/>
  <c r="H54" i="8"/>
  <c r="F41" i="7"/>
  <c r="B16" i="7"/>
  <c r="K30" i="7"/>
  <c r="F51" i="6"/>
  <c r="B42" i="7"/>
  <c r="E19" i="7"/>
  <c r="H18" i="6"/>
  <c r="E69" i="6"/>
  <c r="B82" i="6"/>
  <c r="B88" i="6"/>
  <c r="D41" i="5"/>
  <c r="G49" i="7"/>
  <c r="F48" i="6"/>
  <c r="F23" i="6"/>
  <c r="F47" i="6"/>
  <c r="D82" i="6"/>
  <c r="F12" i="6"/>
  <c r="B80" i="6"/>
  <c r="E29" i="5"/>
  <c r="G41" i="5"/>
  <c r="G40" i="5"/>
  <c r="E69" i="5"/>
  <c r="H79" i="5"/>
  <c r="B36" i="5"/>
  <c r="D20" i="5"/>
  <c r="H98" i="5"/>
  <c r="E76" i="5"/>
  <c r="D86" i="4"/>
  <c r="F67" i="4"/>
  <c r="G10" i="8"/>
  <c r="G42" i="8"/>
  <c r="J52" i="8"/>
  <c r="H46" i="7"/>
  <c r="I31" i="8"/>
  <c r="I8" i="8"/>
  <c r="I39" i="7"/>
  <c r="H8" i="7"/>
  <c r="B19" i="7"/>
  <c r="F18" i="6"/>
  <c r="B69" i="6"/>
  <c r="I34" i="6"/>
  <c r="H26" i="6"/>
  <c r="H19" i="5"/>
  <c r="B49" i="7"/>
  <c r="D48" i="6"/>
  <c r="B52" i="8"/>
  <c r="B24" i="8"/>
  <c r="K39" i="7"/>
  <c r="J8" i="7"/>
  <c r="F76" i="6"/>
  <c r="E28" i="6"/>
  <c r="D93" i="5"/>
  <c r="I15" i="8"/>
  <c r="D46" i="8"/>
  <c r="F43" i="8"/>
  <c r="K33" i="7"/>
  <c r="J25" i="8"/>
  <c r="E17" i="7"/>
  <c r="J19" i="7"/>
  <c r="H22" i="7"/>
  <c r="H25" i="8"/>
  <c r="B17" i="7"/>
  <c r="J18" i="7"/>
  <c r="D12" i="7"/>
  <c r="B7" i="6"/>
  <c r="E42" i="6"/>
  <c r="D54" i="5"/>
  <c r="B61" i="6"/>
  <c r="F34" i="7"/>
  <c r="F12" i="7"/>
  <c r="B43" i="6"/>
  <c r="E33" i="6"/>
  <c r="D89" i="6"/>
  <c r="G15" i="5"/>
  <c r="K19" i="8"/>
  <c r="D53" i="8"/>
  <c r="F42" i="8"/>
  <c r="B33" i="7"/>
  <c r="J53" i="8"/>
  <c r="I33" i="7"/>
  <c r="J9" i="7"/>
  <c r="H21" i="7"/>
  <c r="H53" i="8"/>
  <c r="G33" i="7"/>
  <c r="G28" i="7"/>
  <c r="D22" i="7"/>
  <c r="B17" i="6"/>
  <c r="E56" i="6"/>
  <c r="H16" i="5"/>
  <c r="H7" i="6"/>
  <c r="K28" i="7"/>
  <c r="F22" i="7"/>
  <c r="B42" i="6"/>
  <c r="G37" i="6"/>
  <c r="H81" i="6"/>
  <c r="G45" i="5"/>
  <c r="B61" i="5"/>
  <c r="F45" i="4"/>
  <c r="E28" i="7"/>
  <c r="D23" i="7"/>
  <c r="I56" i="6"/>
  <c r="E37" i="6"/>
  <c r="I38" i="7"/>
  <c r="E60" i="6"/>
  <c r="E87" i="6"/>
  <c r="F29" i="6"/>
  <c r="H88" i="6"/>
  <c r="B81" i="5"/>
  <c r="F88" i="5"/>
  <c r="H99" i="5"/>
  <c r="H86" i="4"/>
  <c r="E31" i="4"/>
  <c r="B42" i="4"/>
  <c r="I73" i="4"/>
  <c r="D37" i="4"/>
  <c r="G26" i="4"/>
  <c r="F69" i="4"/>
  <c r="B12" i="4"/>
  <c r="B131" i="3"/>
  <c r="B137" i="3"/>
  <c r="D60" i="3"/>
  <c r="D116" i="3"/>
  <c r="H105" i="3"/>
  <c r="J39" i="8"/>
  <c r="E11" i="8"/>
  <c r="K26" i="8"/>
  <c r="K46" i="8"/>
  <c r="H44" i="8"/>
  <c r="K41" i="7"/>
  <c r="G8" i="7"/>
  <c r="D14" i="6"/>
  <c r="F44" i="8"/>
  <c r="I41" i="7"/>
  <c r="G50" i="8"/>
  <c r="K12" i="7"/>
  <c r="H38" i="7"/>
  <c r="G9" i="6"/>
  <c r="E89" i="6"/>
  <c r="D70" i="5"/>
  <c r="K50" i="8"/>
  <c r="D40" i="7"/>
  <c r="G36" i="7"/>
  <c r="F73" i="6"/>
  <c r="D22" i="6"/>
  <c r="B53" i="6"/>
  <c r="D11" i="5"/>
  <c r="F49" i="5"/>
  <c r="E50" i="8"/>
  <c r="E36" i="8"/>
  <c r="B36" i="7"/>
  <c r="D73" i="6"/>
  <c r="D10" i="8"/>
  <c r="G29" i="7"/>
  <c r="E83" i="6"/>
  <c r="E76" i="6"/>
  <c r="F35" i="6"/>
  <c r="G40" i="6"/>
  <c r="B54" i="5"/>
  <c r="H10" i="5"/>
  <c r="D60" i="5"/>
  <c r="D91" i="4"/>
  <c r="E44" i="4"/>
  <c r="G41" i="4"/>
  <c r="I60" i="4"/>
  <c r="H58" i="4"/>
  <c r="G79" i="4"/>
  <c r="D55" i="4"/>
  <c r="B138" i="3"/>
  <c r="B48" i="3"/>
  <c r="B96" i="3"/>
  <c r="B26" i="3"/>
  <c r="B94" i="3"/>
  <c r="F104" i="3"/>
  <c r="E49" i="3"/>
  <c r="D46" i="3"/>
  <c r="E110" i="3"/>
  <c r="E10" i="3"/>
  <c r="E123" i="3"/>
  <c r="E53" i="3"/>
  <c r="F45" i="3"/>
  <c r="B66" i="3"/>
  <c r="D100" i="3"/>
  <c r="I88" i="5"/>
  <c r="I63" i="5"/>
  <c r="D14" i="5"/>
  <c r="G60" i="5"/>
  <c r="H48" i="5"/>
  <c r="E48" i="4"/>
  <c r="E77" i="4"/>
  <c r="E66" i="4"/>
  <c r="G89" i="4"/>
  <c r="B30" i="4"/>
  <c r="B39" i="4"/>
  <c r="B50" i="8"/>
  <c r="H18" i="8"/>
  <c r="I12" i="7"/>
  <c r="D28" i="7"/>
  <c r="I48" i="7"/>
  <c r="I36" i="6"/>
  <c r="H80" i="6"/>
  <c r="E39" i="6"/>
  <c r="H9" i="6"/>
  <c r="F43" i="6"/>
  <c r="F11" i="6"/>
  <c r="E19" i="5"/>
  <c r="H23" i="5"/>
  <c r="B66" i="5"/>
  <c r="D49" i="5"/>
  <c r="F91" i="4"/>
  <c r="B83" i="4"/>
  <c r="D72" i="4"/>
  <c r="E56" i="4"/>
  <c r="I62" i="3"/>
  <c r="I136" i="3"/>
  <c r="H86" i="3"/>
  <c r="F90" i="3"/>
  <c r="B38" i="3"/>
  <c r="B30" i="3"/>
  <c r="B16" i="3"/>
  <c r="G68" i="5"/>
  <c r="D36" i="5"/>
  <c r="E84" i="5"/>
  <c r="B86" i="4"/>
  <c r="B32" i="4"/>
  <c r="D60" i="4"/>
  <c r="B27" i="4"/>
  <c r="D35" i="4"/>
  <c r="H24" i="4"/>
  <c r="D62" i="3"/>
  <c r="F137" i="3"/>
  <c r="D26" i="3"/>
  <c r="D94" i="3"/>
  <c r="B92" i="3"/>
  <c r="B57" i="3"/>
  <c r="B112" i="3"/>
  <c r="B124" i="3"/>
  <c r="D73" i="3"/>
  <c r="H82" i="3"/>
  <c r="J80" i="3"/>
  <c r="I12" i="3"/>
  <c r="F22" i="3"/>
  <c r="G40" i="3"/>
  <c r="H64" i="3"/>
  <c r="F139" i="3"/>
  <c r="M34" i="2"/>
  <c r="E91" i="2"/>
  <c r="D76" i="2"/>
  <c r="B57" i="2"/>
  <c r="G82" i="2"/>
  <c r="E14" i="2"/>
  <c r="M42" i="2"/>
  <c r="J48" i="8"/>
  <c r="F21" i="8"/>
  <c r="B26" i="8"/>
  <c r="B46" i="8"/>
  <c r="H22" i="8"/>
  <c r="E46" i="7"/>
  <c r="I24" i="7"/>
  <c r="H25" i="6"/>
  <c r="F22" i="8"/>
  <c r="B46" i="7"/>
  <c r="E47" i="8"/>
  <c r="E23" i="7"/>
  <c r="H30" i="7"/>
  <c r="G10" i="6"/>
  <c r="E54" i="6"/>
  <c r="F69" i="5"/>
  <c r="I47" i="8"/>
  <c r="G23" i="7"/>
  <c r="B39" i="6"/>
  <c r="G11" i="6"/>
  <c r="H10" i="6"/>
  <c r="E91" i="5"/>
  <c r="H27" i="5"/>
  <c r="E72" i="5"/>
  <c r="B47" i="8"/>
  <c r="J51" i="8"/>
  <c r="G62" i="6"/>
  <c r="E11" i="6"/>
  <c r="I36" i="8"/>
  <c r="H36" i="7"/>
  <c r="B67" i="6"/>
  <c r="G49" i="6"/>
  <c r="H84" i="6"/>
  <c r="I47" i="5"/>
  <c r="B16" i="5"/>
  <c r="D87" i="5"/>
  <c r="I44" i="5"/>
  <c r="F77" i="4"/>
  <c r="B88" i="4"/>
  <c r="E95" i="4"/>
  <c r="I40" i="4"/>
  <c r="F36" i="4"/>
  <c r="G35" i="4"/>
  <c r="H78" i="4"/>
  <c r="B98" i="3"/>
  <c r="B117" i="3"/>
  <c r="B129" i="3"/>
  <c r="D14" i="3"/>
  <c r="D50" i="3"/>
  <c r="D114" i="3"/>
  <c r="F76" i="3"/>
  <c r="H84" i="3"/>
  <c r="E74" i="3"/>
  <c r="E13" i="3"/>
  <c r="E81" i="3"/>
  <c r="E122" i="3"/>
  <c r="E34" i="3"/>
  <c r="B65" i="3"/>
  <c r="I27" i="5"/>
  <c r="I79" i="5"/>
  <c r="I52" i="5"/>
  <c r="H12" i="5"/>
  <c r="G33" i="5"/>
  <c r="F31" i="5"/>
  <c r="E87" i="4"/>
  <c r="E46" i="4"/>
  <c r="B45" i="4"/>
  <c r="G76" i="4"/>
  <c r="B20" i="4"/>
  <c r="B38" i="4"/>
  <c r="I44" i="8"/>
  <c r="H41" i="8"/>
  <c r="G21" i="7"/>
  <c r="G43" i="7"/>
  <c r="B24" i="6"/>
  <c r="B59" i="6"/>
  <c r="D47" i="5"/>
  <c r="E51" i="6"/>
  <c r="D8" i="6"/>
  <c r="H56" i="6"/>
  <c r="B30" i="5"/>
  <c r="E81" i="5"/>
  <c r="D26" i="5"/>
  <c r="E78" i="5"/>
  <c r="B32" i="5"/>
  <c r="H77" i="4"/>
  <c r="F75" i="4"/>
  <c r="F38" i="4"/>
  <c r="E34" i="4"/>
  <c r="I121" i="3"/>
  <c r="I18" i="3"/>
  <c r="D115" i="3"/>
  <c r="H126" i="3"/>
  <c r="D37" i="3"/>
  <c r="B80" i="3"/>
  <c r="I22" i="3"/>
  <c r="G25" i="5"/>
  <c r="B35" i="5"/>
  <c r="E49" i="5"/>
  <c r="J22" i="8"/>
  <c r="G29" i="8"/>
  <c r="G46" i="7"/>
  <c r="D13" i="8"/>
  <c r="B48" i="8"/>
  <c r="D9" i="8"/>
  <c r="I23" i="7"/>
  <c r="J32" i="7"/>
  <c r="K47" i="8"/>
  <c r="J36" i="8"/>
  <c r="G41" i="8"/>
  <c r="B37" i="7"/>
  <c r="G39" i="6"/>
  <c r="G29" i="6"/>
  <c r="D53" i="6"/>
  <c r="I52" i="6"/>
  <c r="K41" i="8"/>
  <c r="E37" i="7"/>
  <c r="F61" i="6"/>
  <c r="F81" i="5"/>
  <c r="F59" i="6"/>
  <c r="E17" i="5"/>
  <c r="F67" i="5"/>
  <c r="E95" i="5"/>
  <c r="E41" i="8"/>
  <c r="J25" i="7"/>
  <c r="D61" i="6"/>
  <c r="D81" i="5"/>
  <c r="E27" i="8"/>
  <c r="K42" i="7"/>
  <c r="B15" i="6"/>
  <c r="B71" i="6"/>
  <c r="D90" i="6"/>
  <c r="I97" i="5"/>
  <c r="B15" i="5"/>
  <c r="F63" i="5"/>
  <c r="I31" i="5"/>
  <c r="H22" i="4"/>
  <c r="G43" i="4"/>
  <c r="B81" i="4"/>
  <c r="H29" i="4"/>
  <c r="D9" i="4"/>
  <c r="G25" i="4"/>
  <c r="G24" i="4"/>
  <c r="B97" i="3"/>
  <c r="B88" i="3"/>
  <c r="B128" i="3"/>
  <c r="B59" i="3"/>
  <c r="B93" i="3"/>
  <c r="H25" i="3"/>
  <c r="D134" i="3"/>
  <c r="F124" i="3"/>
  <c r="E73" i="3"/>
  <c r="E54" i="3"/>
  <c r="F31" i="3"/>
  <c r="E29" i="3"/>
  <c r="F17" i="3"/>
  <c r="B141" i="3"/>
  <c r="I26" i="5"/>
  <c r="I67" i="5"/>
  <c r="I51" i="5"/>
  <c r="B20" i="5"/>
  <c r="G59" i="5"/>
  <c r="D43" i="5"/>
  <c r="E47" i="4"/>
  <c r="E33" i="4"/>
  <c r="G64" i="4"/>
  <c r="G75" i="4"/>
  <c r="H73" i="4"/>
  <c r="B19" i="4"/>
  <c r="K52" i="8"/>
  <c r="K24" i="8"/>
  <c r="E31" i="7"/>
  <c r="E26" i="7"/>
  <c r="D77" i="6"/>
  <c r="I28" i="6"/>
  <c r="H93" i="5"/>
  <c r="I76" i="6"/>
  <c r="F44" i="6"/>
  <c r="D15" i="6"/>
  <c r="B83" i="5"/>
  <c r="E54" i="5"/>
  <c r="F25" i="5"/>
  <c r="E14" i="5"/>
  <c r="B48" i="5"/>
  <c r="D33" i="4"/>
  <c r="G92" i="4"/>
  <c r="H59" i="4"/>
  <c r="D69" i="4"/>
  <c r="I48" i="3"/>
  <c r="I26" i="3"/>
  <c r="F105" i="3"/>
  <c r="D125" i="3"/>
  <c r="D42" i="3"/>
  <c r="B36" i="3"/>
  <c r="I66" i="3"/>
  <c r="G73" i="5"/>
  <c r="D86" i="5"/>
  <c r="H44" i="5"/>
  <c r="J11" i="8"/>
  <c r="I18" i="8"/>
  <c r="I45" i="7"/>
  <c r="D17" i="8"/>
  <c r="G15" i="8"/>
  <c r="D43" i="8"/>
  <c r="K22" i="7"/>
  <c r="K44" i="7"/>
  <c r="E15" i="8"/>
  <c r="J42" i="8"/>
  <c r="J46" i="8"/>
  <c r="F19" i="7"/>
  <c r="G14" i="6"/>
  <c r="E47" i="6"/>
  <c r="F91" i="5"/>
  <c r="I24" i="6"/>
  <c r="F25" i="8"/>
  <c r="H19" i="7"/>
  <c r="I17" i="6"/>
  <c r="H56" i="5"/>
  <c r="H85" i="6"/>
  <c r="E93" i="5"/>
  <c r="D10" i="5"/>
  <c r="E58" i="5"/>
  <c r="H46" i="8"/>
  <c r="B7" i="7"/>
  <c r="G17" i="6"/>
  <c r="F56" i="5"/>
  <c r="G7" i="8"/>
  <c r="F23" i="7"/>
  <c r="F100" i="5"/>
  <c r="I13" i="6"/>
  <c r="F56" i="6"/>
  <c r="I29" i="5"/>
  <c r="F28" i="5"/>
  <c r="B78" i="5"/>
  <c r="I76" i="5"/>
  <c r="D10" i="4"/>
  <c r="E83" i="4"/>
  <c r="G74" i="4"/>
  <c r="F72" i="4"/>
  <c r="H15" i="4"/>
  <c r="G56" i="4"/>
  <c r="G68" i="4"/>
  <c r="B118" i="3"/>
  <c r="B130" i="3"/>
  <c r="B127" i="3"/>
  <c r="D47" i="3"/>
  <c r="D58" i="3"/>
  <c r="F68" i="3"/>
  <c r="H90" i="3"/>
  <c r="D55" i="3"/>
  <c r="E38" i="3"/>
  <c r="E89" i="3"/>
  <c r="E30" i="3"/>
  <c r="F41" i="3"/>
  <c r="E16" i="3"/>
  <c r="D102" i="3"/>
  <c r="I68" i="5"/>
  <c r="I10" i="5"/>
  <c r="F36" i="5"/>
  <c r="E50" i="5"/>
  <c r="G84" i="5"/>
  <c r="H95" i="5"/>
  <c r="E86" i="4"/>
  <c r="E22" i="4"/>
  <c r="E32" i="4"/>
  <c r="D82" i="4"/>
  <c r="F60" i="4"/>
  <c r="B37" i="4"/>
  <c r="G9" i="8"/>
  <c r="F35" i="8"/>
  <c r="B10" i="7"/>
  <c r="F16" i="7"/>
  <c r="F49" i="6"/>
  <c r="B74" i="6"/>
  <c r="D42" i="5"/>
  <c r="F50" i="6"/>
  <c r="H29" i="6"/>
  <c r="F41" i="6"/>
  <c r="B96" i="5"/>
  <c r="E16" i="5"/>
  <c r="H88" i="5"/>
  <c r="E12" i="5"/>
  <c r="B43" i="5"/>
  <c r="F10" i="4"/>
  <c r="B95" i="4"/>
  <c r="D36" i="4"/>
  <c r="F78" i="4"/>
  <c r="I88" i="3"/>
  <c r="I59" i="3"/>
  <c r="H39" i="3"/>
  <c r="F84" i="3"/>
  <c r="B13" i="3"/>
  <c r="B122" i="3"/>
  <c r="I141" i="3"/>
  <c r="G79" i="5"/>
  <c r="F12" i="5"/>
  <c r="D31" i="5"/>
  <c r="B46" i="4"/>
  <c r="E76" i="4"/>
  <c r="I19" i="4"/>
  <c r="G17" i="4"/>
  <c r="D34" i="4"/>
  <c r="H8" i="4"/>
  <c r="D48" i="3"/>
  <c r="F127" i="3"/>
  <c r="B47" i="3"/>
  <c r="B58" i="3"/>
  <c r="B114" i="3"/>
  <c r="D49" i="3"/>
  <c r="B120" i="3"/>
  <c r="B103" i="3"/>
  <c r="H72" i="3"/>
  <c r="F140" i="3"/>
  <c r="F53" i="3"/>
  <c r="J34" i="3"/>
  <c r="H141" i="3"/>
  <c r="G143" i="3"/>
  <c r="G63" i="3"/>
  <c r="F36" i="2"/>
  <c r="G73" i="2"/>
  <c r="H97" i="2"/>
  <c r="G26" i="2"/>
  <c r="G65" i="2"/>
  <c r="H24" i="2"/>
  <c r="M67" i="2"/>
  <c r="F52" i="8"/>
  <c r="E39" i="7"/>
  <c r="D29" i="8"/>
  <c r="D46" i="5"/>
  <c r="E30" i="6"/>
  <c r="E66" i="5"/>
  <c r="H18" i="7"/>
  <c r="I25" i="6"/>
  <c r="D80" i="5"/>
  <c r="F54" i="6"/>
  <c r="B12" i="5"/>
  <c r="D89" i="4"/>
  <c r="F19" i="4"/>
  <c r="D7" i="4"/>
  <c r="B136" i="3"/>
  <c r="D135" i="3"/>
  <c r="F125" i="3"/>
  <c r="F42" i="3"/>
  <c r="E36" i="3"/>
  <c r="B71" i="3"/>
  <c r="I73" i="5"/>
  <c r="F86" i="5"/>
  <c r="D32" i="5"/>
  <c r="E84" i="4"/>
  <c r="D43" i="4"/>
  <c r="B28" i="4"/>
  <c r="G34" i="7"/>
  <c r="F72" i="6"/>
  <c r="I21" i="6"/>
  <c r="G23" i="5"/>
  <c r="F83" i="6"/>
  <c r="E100" i="5"/>
  <c r="D51" i="5"/>
  <c r="D47" i="4"/>
  <c r="G40" i="4"/>
  <c r="I97" i="3"/>
  <c r="I93" i="3"/>
  <c r="B74" i="3"/>
  <c r="B34" i="3"/>
  <c r="G52" i="5"/>
  <c r="B87" i="4"/>
  <c r="F83" i="4"/>
  <c r="B58" i="4"/>
  <c r="F79" i="4"/>
  <c r="D11" i="4"/>
  <c r="F130" i="3"/>
  <c r="B60" i="3"/>
  <c r="D93" i="3"/>
  <c r="B25" i="3"/>
  <c r="B90" i="3"/>
  <c r="B83" i="3"/>
  <c r="H10" i="3"/>
  <c r="I109" i="3"/>
  <c r="I45" i="3"/>
  <c r="H70" i="3"/>
  <c r="G99" i="3"/>
  <c r="E27" i="2"/>
  <c r="M85" i="2"/>
  <c r="B13" i="2"/>
  <c r="E18" i="2"/>
  <c r="D55" i="2"/>
  <c r="I80" i="2"/>
  <c r="G78" i="2"/>
  <c r="H12" i="2"/>
  <c r="M32" i="2"/>
  <c r="I84" i="2"/>
  <c r="B52" i="2"/>
  <c r="M45" i="2"/>
  <c r="I48" i="8"/>
  <c r="J9" i="8"/>
  <c r="B14" i="8"/>
  <c r="K37" i="7"/>
  <c r="G47" i="7"/>
  <c r="B36" i="6"/>
  <c r="H53" i="6"/>
  <c r="I14" i="6"/>
  <c r="G14" i="8"/>
  <c r="B30" i="7"/>
  <c r="F33" i="6"/>
  <c r="H82" i="5"/>
  <c r="F68" i="6"/>
  <c r="I17" i="5"/>
  <c r="D79" i="5"/>
  <c r="I95" i="5"/>
  <c r="H89" i="4"/>
  <c r="H28" i="4"/>
  <c r="B56" i="4"/>
  <c r="G62" i="3"/>
  <c r="G136" i="3"/>
  <c r="F86" i="3"/>
  <c r="D90" i="3"/>
  <c r="I67" i="3"/>
  <c r="J109" i="3"/>
  <c r="J11" i="3"/>
  <c r="E68" i="5"/>
  <c r="G62" i="5"/>
  <c r="B84" i="5"/>
  <c r="I85" i="4"/>
  <c r="G63" i="4"/>
  <c r="H40" i="4"/>
  <c r="E42" i="8"/>
  <c r="G30" i="7"/>
  <c r="D18" i="6"/>
  <c r="F19" i="5"/>
  <c r="D47" i="6"/>
  <c r="B29" i="5"/>
  <c r="F79" i="5"/>
  <c r="B76" i="5"/>
  <c r="G80" i="4"/>
  <c r="E24" i="4"/>
  <c r="J47" i="3"/>
  <c r="D124" i="3"/>
  <c r="B29" i="3"/>
  <c r="G67" i="5"/>
  <c r="H76" i="5"/>
  <c r="E75" i="4"/>
  <c r="B17" i="4"/>
  <c r="D8" i="4"/>
  <c r="H136" i="3"/>
  <c r="G86" i="3"/>
  <c r="G76" i="3"/>
  <c r="G133" i="3"/>
  <c r="H123" i="3"/>
  <c r="F34" i="3"/>
  <c r="B143" i="3"/>
  <c r="M35" i="2"/>
  <c r="D97" i="2"/>
  <c r="F31" i="8"/>
  <c r="G15" i="7"/>
  <c r="D36" i="8"/>
  <c r="H75" i="5"/>
  <c r="E29" i="6"/>
  <c r="G34" i="5"/>
  <c r="G38" i="7"/>
  <c r="B33" i="6"/>
  <c r="H45" i="5"/>
  <c r="I93" i="5"/>
  <c r="G61" i="5"/>
  <c r="H75" i="4"/>
  <c r="F57" i="4"/>
  <c r="B8" i="4"/>
  <c r="D51" i="3"/>
  <c r="E33" i="3"/>
  <c r="H103" i="3"/>
  <c r="E82" i="3"/>
  <c r="F35" i="3"/>
  <c r="B70" i="3"/>
  <c r="I9" i="5"/>
  <c r="G64" i="5"/>
  <c r="F58" i="5"/>
  <c r="E21" i="4"/>
  <c r="D92" i="4"/>
  <c r="B59" i="4"/>
  <c r="F18" i="7"/>
  <c r="J23" i="7"/>
  <c r="G67" i="6"/>
  <c r="G71" i="6"/>
  <c r="H54" i="6"/>
  <c r="E15" i="5"/>
  <c r="D50" i="5"/>
  <c r="H66" i="4"/>
  <c r="F15" i="4"/>
  <c r="I61" i="3"/>
  <c r="D68" i="3"/>
  <c r="B89" i="3"/>
  <c r="I70" i="3"/>
  <c r="B50" i="5"/>
  <c r="B91" i="4"/>
  <c r="F42" i="4"/>
  <c r="B36" i="4"/>
  <c r="H56" i="4"/>
  <c r="F12" i="4"/>
  <c r="D61" i="3"/>
  <c r="B14" i="3"/>
  <c r="B86" i="3"/>
  <c r="B68" i="3"/>
  <c r="B56" i="3"/>
  <c r="B133" i="3"/>
  <c r="F13" i="3"/>
  <c r="I119" i="3"/>
  <c r="I17" i="3"/>
  <c r="G44" i="3"/>
  <c r="G21" i="3"/>
  <c r="G35" i="2"/>
  <c r="B85" i="2"/>
  <c r="E33" i="2"/>
  <c r="I70" i="2"/>
  <c r="M15" i="2"/>
  <c r="B42" i="2"/>
  <c r="I93" i="2"/>
  <c r="I61" i="2"/>
  <c r="B32" i="2"/>
  <c r="J9" i="2"/>
  <c r="D86" i="2"/>
  <c r="B45" i="2"/>
  <c r="E32" i="8"/>
  <c r="K51" i="8"/>
  <c r="K49" i="8"/>
  <c r="F47" i="7"/>
  <c r="G38" i="6"/>
  <c r="B35" i="6"/>
  <c r="D83" i="5"/>
  <c r="B87" i="6"/>
  <c r="E26" i="8"/>
  <c r="H47" i="7"/>
  <c r="E31" i="6"/>
  <c r="F39" i="5"/>
  <c r="F28" i="6"/>
  <c r="I75" i="5"/>
  <c r="H21" i="5"/>
  <c r="F94" i="5"/>
  <c r="D75" i="4"/>
  <c r="D38" i="4"/>
  <c r="B34" i="4"/>
  <c r="G121" i="3"/>
  <c r="G18" i="3"/>
  <c r="H135" i="3"/>
  <c r="F126" i="3"/>
  <c r="I72" i="3"/>
  <c r="J119" i="3"/>
  <c r="G22" i="3"/>
  <c r="E25" i="5"/>
  <c r="F34" i="5"/>
  <c r="B49" i="5"/>
  <c r="I23" i="4"/>
  <c r="D44" i="4"/>
  <c r="G72" i="4"/>
  <c r="B17" i="8"/>
  <c r="D48" i="7"/>
  <c r="I31" i="6"/>
  <c r="E28" i="5"/>
  <c r="H28" i="6"/>
  <c r="B71" i="5"/>
  <c r="D8" i="5"/>
  <c r="B24" i="5"/>
  <c r="G61" i="4"/>
  <c r="I12" i="4"/>
  <c r="J116" i="3"/>
  <c r="B75" i="3"/>
  <c r="D12" i="3"/>
  <c r="G8" i="5"/>
  <c r="D46" i="7"/>
  <c r="D8" i="7"/>
  <c r="F28" i="7"/>
  <c r="G19" i="6"/>
  <c r="E47" i="7"/>
  <c r="F50" i="5"/>
  <c r="E29" i="7"/>
  <c r="F34" i="8"/>
  <c r="E53" i="5"/>
  <c r="I71" i="5"/>
  <c r="I58" i="5"/>
  <c r="E82" i="4"/>
  <c r="F17" i="4"/>
  <c r="B62" i="3"/>
  <c r="B18" i="3"/>
  <c r="F57" i="3"/>
  <c r="F133" i="3"/>
  <c r="E142" i="3"/>
  <c r="E24" i="3"/>
  <c r="D44" i="3"/>
  <c r="I87" i="5"/>
  <c r="G85" i="5"/>
  <c r="G57" i="5"/>
  <c r="E10" i="4"/>
  <c r="D95" i="4"/>
  <c r="D16" i="8"/>
  <c r="H44" i="7"/>
  <c r="J11" i="7"/>
  <c r="G15" i="6"/>
  <c r="D17" i="6"/>
  <c r="D66" i="6"/>
  <c r="B89" i="5"/>
  <c r="D85" i="5"/>
  <c r="D64" i="4"/>
  <c r="D17" i="4"/>
  <c r="I108" i="3"/>
  <c r="D57" i="3"/>
  <c r="B142" i="3"/>
  <c r="H101" i="3"/>
  <c r="E85" i="5"/>
  <c r="B84" i="4"/>
  <c r="F81" i="4"/>
  <c r="B9" i="4"/>
  <c r="F71" i="4"/>
  <c r="D138" i="3"/>
  <c r="H108" i="3"/>
  <c r="D59" i="3"/>
  <c r="B85" i="3"/>
  <c r="D33" i="3"/>
  <c r="B126" i="3"/>
  <c r="D75" i="3"/>
  <c r="D54" i="3"/>
  <c r="H36" i="3"/>
  <c r="J16" i="3"/>
  <c r="G101" i="3"/>
  <c r="H27" i="3"/>
  <c r="H58" i="2"/>
  <c r="D92" i="2"/>
  <c r="F51" i="2"/>
  <c r="M69" i="2"/>
  <c r="B15" i="2"/>
  <c r="E75" i="2"/>
  <c r="M87" i="2"/>
  <c r="M30" i="2"/>
  <c r="D40" i="2"/>
  <c r="M39" i="2"/>
  <c r="E59" i="2"/>
  <c r="D37" i="2"/>
  <c r="G31" i="8"/>
  <c r="G8" i="8"/>
  <c r="D31" i="8"/>
  <c r="F17" i="7"/>
  <c r="D76" i="6"/>
  <c r="B28" i="6"/>
  <c r="H46" i="5"/>
  <c r="B76" i="6"/>
  <c r="H31" i="8"/>
  <c r="H17" i="7"/>
  <c r="E44" i="6"/>
  <c r="K48" i="7"/>
  <c r="F34" i="6"/>
  <c r="B41" i="5"/>
  <c r="D62" i="5"/>
  <c r="F85" i="4"/>
  <c r="E92" i="4"/>
  <c r="F59" i="4"/>
  <c r="H55" i="4"/>
  <c r="G48" i="3"/>
  <c r="G26" i="3"/>
  <c r="D105" i="3"/>
  <c r="H46" i="3"/>
  <c r="I10" i="3"/>
  <c r="I53" i="3"/>
  <c r="G66" i="3"/>
  <c r="E73" i="5"/>
  <c r="H14" i="5"/>
  <c r="F44" i="5"/>
  <c r="I77" i="4"/>
  <c r="D83" i="4"/>
  <c r="G39" i="4"/>
  <c r="H52" i="8"/>
  <c r="E7" i="7"/>
  <c r="I44" i="6"/>
  <c r="I36" i="7"/>
  <c r="H34" i="6"/>
  <c r="E41" i="5"/>
  <c r="F62" i="5"/>
  <c r="H85" i="4"/>
  <c r="F29" i="4"/>
  <c r="I118" i="3"/>
  <c r="J58" i="3"/>
  <c r="B73" i="3"/>
  <c r="D17" i="3"/>
  <c r="G51" i="5"/>
  <c r="B47" i="4"/>
  <c r="F73" i="4"/>
  <c r="H35" i="4"/>
  <c r="H62" i="3"/>
  <c r="H26" i="3"/>
  <c r="G92" i="3"/>
  <c r="G112" i="3"/>
  <c r="H73" i="3"/>
  <c r="E109" i="3"/>
  <c r="D15" i="3"/>
  <c r="B99" i="3"/>
  <c r="F66" i="2"/>
  <c r="H76" i="2"/>
  <c r="M82" i="2"/>
  <c r="D45" i="7"/>
  <c r="D24" i="7"/>
  <c r="F32" i="7"/>
  <c r="G45" i="6"/>
  <c r="E52" i="6"/>
  <c r="H91" i="4"/>
  <c r="I42" i="7"/>
  <c r="F7" i="7"/>
  <c r="H60" i="6"/>
  <c r="F90" i="5"/>
  <c r="D57" i="5"/>
  <c r="E93" i="4"/>
  <c r="D16" i="4"/>
  <c r="B132" i="3"/>
  <c r="B95" i="3"/>
  <c r="E77" i="3"/>
  <c r="E75" i="3"/>
  <c r="E144" i="3"/>
  <c r="F12" i="3"/>
  <c r="H40" i="3"/>
  <c r="I8" i="5"/>
  <c r="G99" i="5"/>
  <c r="D24" i="5"/>
  <c r="E67" i="4"/>
  <c r="D80" i="4"/>
  <c r="D15" i="8"/>
  <c r="H26" i="7"/>
  <c r="J10" i="7"/>
  <c r="G12" i="6"/>
  <c r="B16" i="6"/>
  <c r="I40" i="6"/>
  <c r="G74" i="5"/>
  <c r="F60" i="5"/>
  <c r="B31" i="4"/>
  <c r="E26" i="4"/>
  <c r="I96" i="3"/>
  <c r="D113" i="3"/>
  <c r="B140" i="3"/>
  <c r="D52" i="3"/>
  <c r="E77" i="5"/>
  <c r="B22" i="4"/>
  <c r="I30" i="4"/>
  <c r="B15" i="4"/>
  <c r="I69" i="4"/>
  <c r="H97" i="3"/>
  <c r="D96" i="3"/>
  <c r="D95" i="3"/>
  <c r="B115" i="3"/>
  <c r="D77" i="3"/>
  <c r="B125" i="3"/>
  <c r="H110" i="3"/>
  <c r="H142" i="3"/>
  <c r="D122" i="3"/>
  <c r="I11" i="3"/>
  <c r="G52" i="3"/>
  <c r="H7" i="3"/>
  <c r="I74" i="2"/>
  <c r="F44" i="2"/>
  <c r="H25" i="2"/>
  <c r="B69" i="2"/>
  <c r="G64" i="2"/>
  <c r="G79" i="2"/>
  <c r="B87" i="2"/>
  <c r="B30" i="2"/>
  <c r="E29" i="2"/>
  <c r="B39" i="2"/>
  <c r="F46" i="2"/>
  <c r="B43" i="3"/>
  <c r="B36" i="8"/>
  <c r="H25" i="7"/>
  <c r="K53" i="8"/>
  <c r="E27" i="7"/>
  <c r="G48" i="6"/>
  <c r="B83" i="6"/>
  <c r="D100" i="5"/>
  <c r="E49" i="6"/>
  <c r="E46" i="8"/>
  <c r="G27" i="7"/>
  <c r="E75" i="6"/>
  <c r="G78" i="6"/>
  <c r="D55" i="6"/>
  <c r="B80" i="5"/>
  <c r="B86" i="5"/>
  <c r="D46" i="4"/>
  <c r="G81" i="4"/>
  <c r="H9" i="4"/>
  <c r="D78" i="4"/>
  <c r="G88" i="3"/>
  <c r="G59" i="3"/>
  <c r="F39" i="3"/>
  <c r="D84" i="3"/>
  <c r="I54" i="3"/>
  <c r="I29" i="3"/>
  <c r="G141" i="3"/>
  <c r="E79" i="5"/>
  <c r="D12" i="5"/>
  <c r="H43" i="5"/>
  <c r="I33" i="4"/>
  <c r="B76" i="4"/>
  <c r="G19" i="4"/>
  <c r="B25" i="8"/>
  <c r="K27" i="7"/>
  <c r="I75" i="6"/>
  <c r="E79" i="6"/>
  <c r="F55" i="6"/>
  <c r="E80" i="5"/>
  <c r="E86" i="5"/>
  <c r="F46" i="4"/>
  <c r="D19" i="4"/>
  <c r="I131" i="3"/>
  <c r="H92" i="3"/>
  <c r="B72" i="3"/>
  <c r="I71" i="3"/>
  <c r="F78" i="5"/>
  <c r="B10" i="8"/>
  <c r="K30" i="8"/>
  <c r="I30" i="8"/>
  <c r="F19" i="6"/>
  <c r="H29" i="8"/>
  <c r="H43" i="6"/>
  <c r="F23" i="4"/>
  <c r="B30" i="6"/>
  <c r="D44" i="7"/>
  <c r="H21" i="6"/>
  <c r="E74" i="5"/>
  <c r="F48" i="4"/>
  <c r="D30" i="4"/>
  <c r="G71" i="4"/>
  <c r="B121" i="3"/>
  <c r="D107" i="3"/>
  <c r="F113" i="3"/>
  <c r="E32" i="3"/>
  <c r="E140" i="3"/>
  <c r="E23" i="3"/>
  <c r="F52" i="3"/>
  <c r="I21" i="5"/>
  <c r="G77" i="5"/>
  <c r="G49" i="4"/>
  <c r="E90" i="4"/>
  <c r="D93" i="4"/>
  <c r="G38" i="8"/>
  <c r="E13" i="7"/>
  <c r="J29" i="7"/>
  <c r="G66" i="6"/>
  <c r="F31" i="6"/>
  <c r="I80" i="6"/>
  <c r="F92" i="5"/>
  <c r="H84" i="5"/>
  <c r="G62" i="4"/>
  <c r="E35" i="4"/>
  <c r="I128" i="3"/>
  <c r="D76" i="3"/>
  <c r="B81" i="3"/>
  <c r="G27" i="5"/>
  <c r="E33" i="5"/>
  <c r="B10" i="4"/>
  <c r="H61" i="4"/>
  <c r="B57" i="4"/>
  <c r="I55" i="4"/>
  <c r="F118" i="3"/>
  <c r="H128" i="3"/>
  <c r="B107" i="3"/>
  <c r="B135" i="3"/>
  <c r="B113" i="3"/>
  <c r="B46" i="3"/>
  <c r="F74" i="3"/>
  <c r="H144" i="3"/>
  <c r="I41" i="3"/>
  <c r="H15" i="3"/>
  <c r="G100" i="3"/>
  <c r="G8" i="3"/>
  <c r="J66" i="2"/>
  <c r="G96" i="2"/>
  <c r="I72" i="2"/>
  <c r="E50" i="2"/>
  <c r="I68" i="2"/>
  <c r="I41" i="2"/>
  <c r="D7" i="2"/>
  <c r="E48" i="2"/>
  <c r="F10" i="2"/>
  <c r="E31" i="2"/>
  <c r="G28" i="2"/>
  <c r="D79" i="3"/>
  <c r="H51" i="8"/>
  <c r="K17" i="7"/>
  <c r="J35" i="7"/>
  <c r="B40" i="7"/>
  <c r="G7" i="6"/>
  <c r="I42" i="6"/>
  <c r="H54" i="5"/>
  <c r="G61" i="6"/>
  <c r="F45" i="7"/>
  <c r="E40" i="7"/>
  <c r="B34" i="6"/>
  <c r="E18" i="6"/>
  <c r="H89" i="6"/>
  <c r="B40" i="5"/>
  <c r="E65" i="5"/>
  <c r="H90" i="4"/>
  <c r="B74" i="4"/>
  <c r="D15" i="4"/>
  <c r="B68" i="4"/>
  <c r="G61" i="3"/>
  <c r="G95" i="3"/>
  <c r="I33" i="3"/>
  <c r="F83" i="3"/>
  <c r="I82" i="3"/>
  <c r="J35" i="3"/>
  <c r="G70" i="3"/>
  <c r="E10" i="5"/>
  <c r="F61" i="5"/>
  <c r="D95" i="5"/>
  <c r="I21" i="4"/>
  <c r="D42" i="4"/>
  <c r="G59" i="4"/>
  <c r="F46" i="7"/>
  <c r="I40" i="7"/>
  <c r="G34" i="6"/>
  <c r="I18" i="6"/>
  <c r="D12" i="6"/>
  <c r="E40" i="5"/>
  <c r="G65" i="5"/>
  <c r="D67" i="4"/>
  <c r="H27" i="4"/>
  <c r="E40" i="8"/>
  <c r="E29" i="8"/>
  <c r="B29" i="8"/>
  <c r="D45" i="6"/>
  <c r="H36" i="8"/>
  <c r="F67" i="6"/>
  <c r="D90" i="4"/>
  <c r="B29" i="6"/>
  <c r="F11" i="7"/>
  <c r="D44" i="6"/>
  <c r="H68" i="5"/>
  <c r="F66" i="4"/>
  <c r="I61" i="4"/>
  <c r="G34" i="4"/>
  <c r="B61" i="3"/>
  <c r="B106" i="3"/>
  <c r="F112" i="3"/>
  <c r="E67" i="3"/>
  <c r="F109" i="3"/>
  <c r="F11" i="3"/>
  <c r="I37" i="5"/>
  <c r="B62" i="5"/>
  <c r="G98" i="5"/>
  <c r="E85" i="4"/>
  <c r="B63" i="4"/>
  <c r="D40" i="4"/>
  <c r="B41" i="8"/>
  <c r="K29" i="7"/>
  <c r="F37" i="6"/>
  <c r="H80" i="5"/>
  <c r="D59" i="6"/>
  <c r="B17" i="5"/>
  <c r="D67" i="5"/>
  <c r="B95" i="5"/>
  <c r="E74" i="4"/>
  <c r="E68" i="4"/>
  <c r="I95" i="3"/>
  <c r="H83" i="3"/>
  <c r="D41" i="3"/>
  <c r="G10" i="5"/>
  <c r="F95" i="5"/>
  <c r="B90" i="4"/>
  <c r="I72" i="4"/>
  <c r="E14" i="4"/>
  <c r="I54" i="4"/>
  <c r="H121" i="3"/>
  <c r="D136" i="3"/>
  <c r="D106" i="3"/>
  <c r="B105" i="3"/>
  <c r="B76" i="3"/>
  <c r="B111" i="3"/>
  <c r="H67" i="3"/>
  <c r="D123" i="3"/>
  <c r="I35" i="3"/>
  <c r="D71" i="3"/>
  <c r="H43" i="3"/>
  <c r="H9" i="3"/>
  <c r="B34" i="2"/>
  <c r="I20" i="2"/>
  <c r="J43" i="2"/>
  <c r="H56" i="2"/>
  <c r="B67" i="2"/>
  <c r="M95" i="2"/>
  <c r="E54" i="2"/>
  <c r="G63" i="2"/>
  <c r="F23" i="2"/>
  <c r="G22" i="2"/>
  <c r="H88" i="2"/>
  <c r="F40" i="8"/>
  <c r="K13" i="8"/>
  <c r="H48" i="8"/>
  <c r="J27" i="7"/>
  <c r="D11" i="7"/>
  <c r="B60" i="6"/>
  <c r="I20" i="6"/>
  <c r="F45" i="5"/>
  <c r="D39" i="8"/>
  <c r="D14" i="7"/>
  <c r="F39" i="7"/>
  <c r="B27" i="6"/>
  <c r="I16" i="6"/>
  <c r="G26" i="6"/>
  <c r="B39" i="5"/>
  <c r="F77" i="5"/>
  <c r="F32" i="4"/>
  <c r="F20" i="4"/>
  <c r="F14" i="4"/>
  <c r="G8" i="4"/>
  <c r="G108" i="3"/>
  <c r="G106" i="3"/>
  <c r="I77" i="3"/>
  <c r="I75" i="3"/>
  <c r="I144" i="3"/>
  <c r="J12" i="3"/>
  <c r="F101" i="3"/>
  <c r="E87" i="5"/>
  <c r="B85" i="5"/>
  <c r="B57" i="5"/>
  <c r="I67" i="4"/>
  <c r="D81" i="4"/>
  <c r="D50" i="8"/>
  <c r="H14" i="7"/>
  <c r="J7" i="8"/>
  <c r="G19" i="5"/>
  <c r="H20" i="6"/>
  <c r="G70" i="4"/>
  <c r="F37" i="3"/>
  <c r="E35" i="5"/>
  <c r="B29" i="4"/>
  <c r="F15" i="5"/>
  <c r="F57" i="5"/>
  <c r="D133" i="3"/>
  <c r="G65" i="4"/>
  <c r="F131" i="3"/>
  <c r="B134" i="3"/>
  <c r="J24" i="3"/>
  <c r="E77" i="2"/>
  <c r="E49" i="2"/>
  <c r="G89" i="2"/>
  <c r="G25" i="7"/>
  <c r="B22" i="6"/>
  <c r="D42" i="7"/>
  <c r="G53" i="6"/>
  <c r="E73" i="4"/>
  <c r="G94" i="3"/>
  <c r="J45" i="3"/>
  <c r="B49" i="4"/>
  <c r="H42" i="7"/>
  <c r="B13" i="6"/>
  <c r="H37" i="5"/>
  <c r="E25" i="4"/>
  <c r="H91" i="3"/>
  <c r="G26" i="5"/>
  <c r="B33" i="4"/>
  <c r="G27" i="4"/>
  <c r="F98" i="3"/>
  <c r="H95" i="3"/>
  <c r="G57" i="3"/>
  <c r="F32" i="3"/>
  <c r="H122" i="3"/>
  <c r="B101" i="3"/>
  <c r="D58" i="2"/>
  <c r="B26" i="2"/>
  <c r="F16" i="2"/>
  <c r="G95" i="2"/>
  <c r="B63" i="2"/>
  <c r="B22" i="2"/>
  <c r="B28" i="3"/>
  <c r="B9" i="3"/>
  <c r="H74" i="2"/>
  <c r="D91" i="2"/>
  <c r="B76" i="2"/>
  <c r="M71" i="2"/>
  <c r="D17" i="2"/>
  <c r="D68" i="2"/>
  <c r="F78" i="2"/>
  <c r="F61" i="2"/>
  <c r="M10" i="2"/>
  <c r="F31" i="2"/>
  <c r="E88" i="2"/>
  <c r="G48" i="8"/>
  <c r="H9" i="8"/>
  <c r="K23" i="7"/>
  <c r="D33" i="7"/>
  <c r="B47" i="7"/>
  <c r="I29" i="6"/>
  <c r="F53" i="6"/>
  <c r="E14" i="6"/>
  <c r="D9" i="6"/>
  <c r="H67" i="6"/>
  <c r="G91" i="5"/>
  <c r="I82" i="5"/>
  <c r="D23" i="5"/>
  <c r="D35" i="5"/>
  <c r="G72" i="5"/>
  <c r="H23" i="4"/>
  <c r="F89" i="4"/>
  <c r="F28" i="4"/>
  <c r="I71" i="4"/>
  <c r="E62" i="3"/>
  <c r="E136" i="3"/>
  <c r="D86" i="3"/>
  <c r="H112" i="3"/>
  <c r="G67" i="3"/>
  <c r="H109" i="3"/>
  <c r="H11" i="3"/>
  <c r="B68" i="5"/>
  <c r="E62" i="5"/>
  <c r="I98" i="5"/>
  <c r="G85" i="4"/>
  <c r="E63" i="4"/>
  <c r="F40" i="4"/>
  <c r="I15" i="4"/>
  <c r="H25" i="4"/>
  <c r="F24" i="4"/>
  <c r="H132" i="3"/>
  <c r="D137" i="3"/>
  <c r="I14" i="3"/>
  <c r="I50" i="3"/>
  <c r="I105" i="3"/>
  <c r="J77" i="3"/>
  <c r="I56" i="3"/>
  <c r="I55" i="3"/>
  <c r="H38" i="3"/>
  <c r="F82" i="3"/>
  <c r="H80" i="3"/>
  <c r="G12" i="3"/>
  <c r="D22" i="3"/>
  <c r="E40" i="3"/>
  <c r="F64" i="3"/>
  <c r="D139" i="3"/>
  <c r="E34" i="2"/>
  <c r="G33" i="2"/>
  <c r="J56" i="2"/>
  <c r="E42" i="2"/>
  <c r="M61" i="2"/>
  <c r="B84" i="2"/>
  <c r="E45" i="2"/>
  <c r="F27" i="2"/>
  <c r="J20" i="2"/>
  <c r="H69" i="2"/>
  <c r="D42" i="2"/>
  <c r="I11" i="2"/>
  <c r="B86" i="2"/>
  <c r="J17" i="8"/>
  <c r="G82" i="5"/>
  <c r="D41" i="6"/>
  <c r="G11" i="4"/>
  <c r="E72" i="3"/>
  <c r="H78" i="5"/>
  <c r="B72" i="4"/>
  <c r="D74" i="5"/>
  <c r="D49" i="4"/>
  <c r="B32" i="3"/>
  <c r="F44" i="4"/>
  <c r="H88" i="3"/>
  <c r="B91" i="3"/>
  <c r="J23" i="3"/>
  <c r="I83" i="2"/>
  <c r="G81" i="2"/>
  <c r="H60" i="2"/>
  <c r="B18" i="7"/>
  <c r="B21" i="6"/>
  <c r="G11" i="7"/>
  <c r="I83" i="5"/>
  <c r="E40" i="4"/>
  <c r="G93" i="3"/>
  <c r="J17" i="3"/>
  <c r="I47" i="4"/>
  <c r="K11" i="7"/>
  <c r="D23" i="6"/>
  <c r="H77" i="5"/>
  <c r="E70" i="4"/>
  <c r="F120" i="3"/>
  <c r="G22" i="5"/>
  <c r="B67" i="4"/>
  <c r="G57" i="4"/>
  <c r="D121" i="3"/>
  <c r="H106" i="3"/>
  <c r="G113" i="3"/>
  <c r="D67" i="3"/>
  <c r="E41" i="3"/>
  <c r="B52" i="3"/>
  <c r="I77" i="2"/>
  <c r="E72" i="2"/>
  <c r="I14" i="2"/>
  <c r="M78" i="2"/>
  <c r="F11" i="2"/>
  <c r="G52" i="2"/>
  <c r="D99" i="3"/>
  <c r="D20" i="3"/>
  <c r="I66" i="2"/>
  <c r="E44" i="2"/>
  <c r="D33" i="2"/>
  <c r="B71" i="2"/>
  <c r="E24" i="2"/>
  <c r="H49" i="2"/>
  <c r="D93" i="2"/>
  <c r="D30" i="2"/>
  <c r="B10" i="2"/>
  <c r="D22" i="2"/>
  <c r="F21" i="2"/>
  <c r="B32" i="8"/>
  <c r="I51" i="8"/>
  <c r="I20" i="7"/>
  <c r="I14" i="7"/>
  <c r="B38" i="6"/>
  <c r="I85" i="6"/>
  <c r="H97" i="5"/>
  <c r="G86" i="6"/>
  <c r="F21" i="6"/>
  <c r="D56" i="6"/>
  <c r="G47" i="5"/>
  <c r="I80" i="5"/>
  <c r="F68" i="5"/>
  <c r="I86" i="5"/>
  <c r="G44" i="5"/>
  <c r="D77" i="4"/>
  <c r="G82" i="4"/>
  <c r="H19" i="4"/>
  <c r="I70" i="4"/>
  <c r="E121" i="3"/>
  <c r="E18" i="3"/>
  <c r="F135" i="3"/>
  <c r="D126" i="3"/>
  <c r="G72" i="3"/>
  <c r="H119" i="3"/>
  <c r="E22" i="3"/>
  <c r="B25" i="5"/>
  <c r="D34" i="5"/>
  <c r="H72" i="5"/>
  <c r="G23" i="4"/>
  <c r="F88" i="4"/>
  <c r="E72" i="4"/>
  <c r="I57" i="4"/>
  <c r="F56" i="4"/>
  <c r="D68" i="4"/>
  <c r="F121" i="3"/>
  <c r="H129" i="3"/>
  <c r="J59" i="3"/>
  <c r="J93" i="3"/>
  <c r="I104" i="3"/>
  <c r="I113" i="3"/>
  <c r="I126" i="3"/>
  <c r="I83" i="3"/>
  <c r="F67" i="3"/>
  <c r="F142" i="3"/>
  <c r="G119" i="3"/>
  <c r="H23" i="3"/>
  <c r="H66" i="3"/>
  <c r="E52" i="3"/>
  <c r="E21" i="3"/>
  <c r="M27" i="2"/>
  <c r="I73" i="2"/>
  <c r="H7" i="8"/>
  <c r="J18" i="8"/>
  <c r="D25" i="5"/>
  <c r="B87" i="3"/>
  <c r="E80" i="3"/>
  <c r="G49" i="5"/>
  <c r="F8" i="8"/>
  <c r="D75" i="6"/>
  <c r="H20" i="4"/>
  <c r="B24" i="3"/>
  <c r="I39" i="4"/>
  <c r="B51" i="3"/>
  <c r="B84" i="3"/>
  <c r="H65" i="3"/>
  <c r="J19" i="2"/>
  <c r="B95" i="2"/>
  <c r="I38" i="2"/>
  <c r="B40" i="8"/>
  <c r="I89" i="6"/>
  <c r="E9" i="7"/>
  <c r="H11" i="5"/>
  <c r="B26" i="4"/>
  <c r="I49" i="3"/>
  <c r="H100" i="3"/>
  <c r="I66" i="4"/>
  <c r="J39" i="7"/>
  <c r="H69" i="6"/>
  <c r="F98" i="5"/>
  <c r="I130" i="3"/>
  <c r="B54" i="3"/>
  <c r="F65" i="5"/>
  <c r="E64" i="4"/>
  <c r="E13" i="4"/>
  <c r="F117" i="3"/>
  <c r="H94" i="3"/>
  <c r="G91" i="3"/>
  <c r="D72" i="3"/>
  <c r="F24" i="3"/>
  <c r="B79" i="3"/>
  <c r="B73" i="2"/>
  <c r="G57" i="2"/>
  <c r="B64" i="2"/>
  <c r="E93" i="2"/>
  <c r="H40" i="2"/>
  <c r="I59" i="2"/>
  <c r="B64" i="3"/>
  <c r="B139" i="3"/>
  <c r="J34" i="2"/>
  <c r="F96" i="2"/>
  <c r="E51" i="2"/>
  <c r="D18" i="2"/>
  <c r="G62" i="2"/>
  <c r="F81" i="2"/>
  <c r="M7" i="2"/>
  <c r="H63" i="2"/>
  <c r="E23" i="2"/>
  <c r="H52" i="2"/>
  <c r="G90" i="2"/>
  <c r="E31" i="8"/>
  <c r="E8" i="8"/>
  <c r="G39" i="7"/>
  <c r="F8" i="7"/>
  <c r="H19" i="6"/>
  <c r="I90" i="6"/>
  <c r="F46" i="5"/>
  <c r="I19" i="6"/>
  <c r="H30" i="6"/>
  <c r="F20" i="6"/>
  <c r="G97" i="5"/>
  <c r="I56" i="5"/>
  <c r="H22" i="5"/>
  <c r="I13" i="5"/>
  <c r="G31" i="5"/>
  <c r="F22" i="4"/>
  <c r="B92" i="4"/>
  <c r="D59" i="4"/>
  <c r="F55" i="4"/>
  <c r="E48" i="3"/>
  <c r="E26" i="3"/>
  <c r="H104" i="3"/>
  <c r="F46" i="3"/>
  <c r="G10" i="3"/>
  <c r="G53" i="3"/>
  <c r="E66" i="3"/>
  <c r="B73" i="5"/>
  <c r="F14" i="5"/>
  <c r="D44" i="5"/>
  <c r="G77" i="4"/>
  <c r="I89" i="4"/>
  <c r="E39" i="4"/>
  <c r="G18" i="4"/>
  <c r="D71" i="4"/>
  <c r="G7" i="4"/>
  <c r="D131" i="3"/>
  <c r="F128" i="3"/>
  <c r="I47" i="3"/>
  <c r="I58" i="3"/>
  <c r="I114" i="3"/>
  <c r="J49" i="3"/>
  <c r="I120" i="3"/>
  <c r="I103" i="3"/>
  <c r="E37" i="3"/>
  <c r="F144" i="3"/>
  <c r="F36" i="3"/>
  <c r="G45" i="3"/>
  <c r="F65" i="3"/>
  <c r="E100" i="3"/>
  <c r="F27" i="3"/>
  <c r="B27" i="2"/>
  <c r="B83" i="2"/>
  <c r="H17" i="8"/>
  <c r="J43" i="8"/>
  <c r="B14" i="5"/>
  <c r="B108" i="3"/>
  <c r="F119" i="3"/>
  <c r="F72" i="5"/>
  <c r="K34" i="8"/>
  <c r="F90" i="6"/>
  <c r="G73" i="4"/>
  <c r="B23" i="3"/>
  <c r="I59" i="4"/>
  <c r="D18" i="3"/>
  <c r="B55" i="3"/>
  <c r="G102" i="3"/>
  <c r="M13" i="2"/>
  <c r="E94" i="2"/>
  <c r="M52" i="2"/>
  <c r="D21" i="8"/>
  <c r="I88" i="6"/>
  <c r="D86" i="6"/>
  <c r="F37" i="5"/>
  <c r="B35" i="4"/>
  <c r="H134" i="3"/>
  <c r="E27" i="5"/>
  <c r="E65" i="4"/>
  <c r="K9" i="7"/>
  <c r="I26" i="6"/>
  <c r="B44" i="5"/>
  <c r="I137" i="3"/>
  <c r="B144" i="3"/>
  <c r="E99" i="5"/>
  <c r="F62" i="4"/>
  <c r="D56" i="4"/>
  <c r="H61" i="3"/>
  <c r="H93" i="3"/>
  <c r="G126" i="3"/>
  <c r="D10" i="3"/>
  <c r="F23" i="3"/>
  <c r="B21" i="3"/>
  <c r="G85" i="2"/>
  <c r="I18" i="2"/>
  <c r="G67" i="2"/>
  <c r="H7" i="2"/>
  <c r="J10" i="2"/>
  <c r="M28" i="2"/>
  <c r="D21" i="3"/>
  <c r="B19" i="3"/>
  <c r="H77" i="2"/>
  <c r="G97" i="2"/>
  <c r="F26" i="2"/>
  <c r="H70" i="2"/>
  <c r="I55" i="2"/>
  <c r="D80" i="2"/>
  <c r="B7" i="2"/>
  <c r="F47" i="2"/>
  <c r="F89" i="2"/>
  <c r="I86" i="2"/>
  <c r="H45" i="2"/>
  <c r="K43" i="8"/>
  <c r="F25" i="7"/>
  <c r="E38" i="7"/>
  <c r="G42" i="7"/>
  <c r="E48" i="6"/>
  <c r="G82" i="6"/>
  <c r="H41" i="5"/>
  <c r="B49" i="6"/>
  <c r="D29" i="6"/>
  <c r="H12" i="6"/>
  <c r="G29" i="5"/>
  <c r="I40" i="5"/>
  <c r="D88" i="5"/>
  <c r="F20" i="5"/>
  <c r="G76" i="5"/>
  <c r="H67" i="4"/>
  <c r="E81" i="4"/>
  <c r="F9" i="4"/>
  <c r="I24" i="4"/>
  <c r="E88" i="3"/>
  <c r="E59" i="3"/>
  <c r="D39" i="3"/>
  <c r="H124" i="3"/>
  <c r="G54" i="3"/>
  <c r="G29" i="3"/>
  <c r="E141" i="3"/>
  <c r="B79" i="5"/>
  <c r="E20" i="5"/>
  <c r="F43" i="5"/>
  <c r="G33" i="4"/>
  <c r="I75" i="4"/>
  <c r="E19" i="4"/>
  <c r="E17" i="4"/>
  <c r="H70" i="4"/>
  <c r="F8" i="4"/>
  <c r="H117" i="3"/>
  <c r="D127" i="3"/>
  <c r="J95" i="3"/>
  <c r="I86" i="3"/>
  <c r="I39" i="3"/>
  <c r="I76" i="3"/>
  <c r="I125" i="3"/>
  <c r="I133" i="3"/>
  <c r="F72" i="3"/>
  <c r="D140" i="3"/>
  <c r="D53" i="3"/>
  <c r="H34" i="3"/>
  <c r="F141" i="3"/>
  <c r="E143" i="3"/>
  <c r="E63" i="3"/>
  <c r="D36" i="2"/>
  <c r="F92" i="2"/>
  <c r="D43" i="2"/>
  <c r="E15" i="2"/>
  <c r="G94" i="2"/>
  <c r="B47" i="2"/>
  <c r="B38" i="2"/>
  <c r="E64" i="3"/>
  <c r="B66" i="2"/>
  <c r="G51" i="2"/>
  <c r="I62" i="2"/>
  <c r="D87" i="2"/>
  <c r="G23" i="2"/>
  <c r="I90" i="2"/>
  <c r="G20" i="2"/>
  <c r="G70" i="2"/>
  <c r="M49" i="2"/>
  <c r="M54" i="2"/>
  <c r="D10" i="2"/>
  <c r="G90" i="6"/>
  <c r="I67" i="6"/>
  <c r="F64" i="4"/>
  <c r="H85" i="3"/>
  <c r="B15" i="3"/>
  <c r="E91" i="4"/>
  <c r="D49" i="7"/>
  <c r="B46" i="5"/>
  <c r="I8" i="4"/>
  <c r="G87" i="5"/>
  <c r="B16" i="4"/>
  <c r="B116" i="3"/>
  <c r="G37" i="3"/>
  <c r="G79" i="3"/>
  <c r="M57" i="2"/>
  <c r="F53" i="2"/>
  <c r="I21" i="2"/>
  <c r="J40" i="7"/>
  <c r="B53" i="5"/>
  <c r="H40" i="6"/>
  <c r="D98" i="5"/>
  <c r="G138" i="3"/>
  <c r="I110" i="3"/>
  <c r="E21" i="5"/>
  <c r="G30" i="4"/>
  <c r="D87" i="6"/>
  <c r="I53" i="6"/>
  <c r="D63" i="4"/>
  <c r="I127" i="3"/>
  <c r="D31" i="3"/>
  <c r="E59" i="5"/>
  <c r="F74" i="4"/>
  <c r="F70" i="4"/>
  <c r="D108" i="3"/>
  <c r="G115" i="3"/>
  <c r="G125" i="3"/>
  <c r="F89" i="3"/>
  <c r="F16" i="3"/>
  <c r="B63" i="3"/>
  <c r="I91" i="2"/>
  <c r="B65" i="2"/>
  <c r="M81" i="2"/>
  <c r="J53" i="2"/>
  <c r="M89" i="2"/>
  <c r="D88" i="2"/>
  <c r="B27" i="3"/>
  <c r="D27" i="2"/>
  <c r="F73" i="2"/>
  <c r="H20" i="2"/>
  <c r="G25" i="2"/>
  <c r="F69" i="2"/>
  <c r="M16" i="2"/>
  <c r="H75" i="2"/>
  <c r="D54" i="2"/>
  <c r="G11" i="2"/>
  <c r="G60" i="2"/>
  <c r="J59" i="2"/>
  <c r="I37" i="2"/>
  <c r="F51" i="8"/>
  <c r="I17" i="7"/>
  <c r="B29" i="7"/>
  <c r="J22" i="7"/>
  <c r="E7" i="6"/>
  <c r="G42" i="6"/>
  <c r="F54" i="5"/>
  <c r="E61" i="6"/>
  <c r="D35" i="6"/>
  <c r="D54" i="6"/>
  <c r="G93" i="5"/>
  <c r="I45" i="5"/>
  <c r="F10" i="5"/>
  <c r="E61" i="5"/>
  <c r="G58" i="5"/>
  <c r="D66" i="4"/>
  <c r="G93" i="4"/>
  <c r="H57" i="4"/>
  <c r="I11" i="4"/>
  <c r="E61" i="3"/>
  <c r="E95" i="3"/>
  <c r="G33" i="3"/>
  <c r="D83" i="3"/>
  <c r="G82" i="3"/>
  <c r="H35" i="3"/>
  <c r="E70" i="3"/>
  <c r="B10" i="5"/>
  <c r="D61" i="5"/>
  <c r="H58" i="5"/>
  <c r="G21" i="4"/>
  <c r="F92" i="4"/>
  <c r="E59" i="4"/>
  <c r="B14" i="4"/>
  <c r="G69" i="4"/>
  <c r="D12" i="4"/>
  <c r="F88" i="3"/>
  <c r="I51" i="3"/>
  <c r="I107" i="3"/>
  <c r="I85" i="3"/>
  <c r="I25" i="3"/>
  <c r="I134" i="3"/>
  <c r="I46" i="3"/>
  <c r="E58" i="6"/>
  <c r="I39" i="6"/>
  <c r="F63" i="4"/>
  <c r="F115" i="3"/>
  <c r="B22" i="3"/>
  <c r="E23" i="4"/>
  <c r="H62" i="6"/>
  <c r="B75" i="5"/>
  <c r="I138" i="3"/>
  <c r="G21" i="5"/>
  <c r="H26" i="4"/>
  <c r="B50" i="3"/>
  <c r="G42" i="3"/>
  <c r="H28" i="3"/>
  <c r="D71" i="2"/>
  <c r="G8" i="2"/>
  <c r="J90" i="2"/>
  <c r="E11" i="7"/>
  <c r="G9" i="7"/>
  <c r="H29" i="5"/>
  <c r="I48" i="5"/>
  <c r="G97" i="3"/>
  <c r="I73" i="3"/>
  <c r="E52" i="5"/>
  <c r="F61" i="4"/>
  <c r="G27" i="6"/>
  <c r="B47" i="5"/>
  <c r="E43" i="4"/>
  <c r="J60" i="3"/>
  <c r="D119" i="3"/>
  <c r="D72" i="5"/>
  <c r="I28" i="4"/>
  <c r="E55" i="4"/>
  <c r="F129" i="3"/>
  <c r="G104" i="3"/>
  <c r="G111" i="3"/>
  <c r="D142" i="3"/>
  <c r="F66" i="3"/>
  <c r="B8" i="3"/>
  <c r="M96" i="2"/>
  <c r="G69" i="2"/>
  <c r="E80" i="2"/>
  <c r="B8" i="2"/>
  <c r="D60" i="2"/>
  <c r="F90" i="2"/>
  <c r="D63" i="3"/>
  <c r="E36" i="2"/>
  <c r="D83" i="2"/>
  <c r="I19" i="2"/>
  <c r="H72" i="2"/>
  <c r="D50" i="2"/>
  <c r="B16" i="2"/>
  <c r="F79" i="2"/>
  <c r="E53" i="2"/>
  <c r="H32" i="2"/>
  <c r="H84" i="2"/>
  <c r="M46" i="2"/>
  <c r="D40" i="8"/>
  <c r="I13" i="8"/>
  <c r="H43" i="7"/>
  <c r="D36" i="7"/>
  <c r="J31" i="7"/>
  <c r="I70" i="6"/>
  <c r="G20" i="6"/>
  <c r="D45" i="5"/>
  <c r="G13" i="6"/>
  <c r="F84" i="6"/>
  <c r="F88" i="6"/>
  <c r="G71" i="5"/>
  <c r="D28" i="5"/>
  <c r="H8" i="5"/>
  <c r="F99" i="5"/>
  <c r="G24" i="5"/>
  <c r="D32" i="4"/>
  <c r="D20" i="4"/>
  <c r="D14" i="4"/>
  <c r="E8" i="4"/>
  <c r="E108" i="3"/>
  <c r="E106" i="3"/>
  <c r="G77" i="3"/>
  <c r="G75" i="3"/>
  <c r="G144" i="3"/>
  <c r="H12" i="3"/>
  <c r="D101" i="3"/>
  <c r="B87" i="5"/>
  <c r="I99" i="5"/>
  <c r="F24" i="5"/>
  <c r="G67" i="4"/>
  <c r="F80" i="4"/>
  <c r="I36" i="4"/>
  <c r="G13" i="4"/>
  <c r="G55" i="4"/>
  <c r="H98" i="3"/>
  <c r="D130" i="3"/>
  <c r="J18" i="3"/>
  <c r="J106" i="3"/>
  <c r="B42" i="8"/>
  <c r="D56" i="3"/>
  <c r="F87" i="5"/>
  <c r="B104" i="3"/>
  <c r="I47" i="2"/>
  <c r="H22" i="6"/>
  <c r="B77" i="5"/>
  <c r="B82" i="4"/>
  <c r="I37" i="4"/>
  <c r="G124" i="3"/>
  <c r="F19" i="2"/>
  <c r="F9" i="2"/>
  <c r="M92" i="2"/>
  <c r="H14" i="2"/>
  <c r="I9" i="2"/>
  <c r="I8" i="7"/>
  <c r="G89" i="6"/>
  <c r="E40" i="6"/>
  <c r="H33" i="5"/>
  <c r="I79" i="4"/>
  <c r="G49" i="3"/>
  <c r="F100" i="3"/>
  <c r="G66" i="4"/>
  <c r="G54" i="4"/>
  <c r="I116" i="3"/>
  <c r="I91" i="3"/>
  <c r="F110" i="3"/>
  <c r="H30" i="3"/>
  <c r="G11" i="3"/>
  <c r="F28" i="3"/>
  <c r="G74" i="2"/>
  <c r="F71" i="2"/>
  <c r="G49" i="2"/>
  <c r="E30" i="2"/>
  <c r="F86" i="2"/>
  <c r="E9" i="3"/>
  <c r="B19" i="2"/>
  <c r="B55" i="2"/>
  <c r="H61" i="2"/>
  <c r="E46" i="2"/>
  <c r="E96" i="2"/>
  <c r="M50" i="2"/>
  <c r="I42" i="2"/>
  <c r="I30" i="2"/>
  <c r="B31" i="2"/>
  <c r="I28" i="3"/>
  <c r="E58" i="2"/>
  <c r="I76" i="2"/>
  <c r="J17" i="2"/>
  <c r="F94" i="2"/>
  <c r="H29" i="2"/>
  <c r="M88" i="2"/>
  <c r="E18" i="8"/>
  <c r="H26" i="8"/>
  <c r="D42" i="8"/>
  <c r="G44" i="7"/>
  <c r="F91" i="6"/>
  <c r="G57" i="6"/>
  <c r="D75" i="5"/>
  <c r="B45" i="6"/>
  <c r="H42" i="8"/>
  <c r="I44" i="7"/>
  <c r="B47" i="6"/>
  <c r="E24" i="6"/>
  <c r="H42" i="6"/>
  <c r="B82" i="5"/>
  <c r="B34" i="5"/>
  <c r="H84" i="4"/>
  <c r="B41" i="4"/>
  <c r="D58" i="4"/>
  <c r="F54" i="4"/>
  <c r="G117" i="3"/>
  <c r="H14" i="3"/>
  <c r="H114" i="3"/>
  <c r="F111" i="3"/>
  <c r="I13" i="3"/>
  <c r="I122" i="3"/>
  <c r="G65" i="3"/>
  <c r="E88" i="5"/>
  <c r="F13" i="5"/>
  <c r="D48" i="5"/>
  <c r="I46" i="4"/>
  <c r="B89" i="4"/>
  <c r="G38" i="4"/>
  <c r="H43" i="8"/>
  <c r="D32" i="7"/>
  <c r="G47" i="6"/>
  <c r="E25" i="6"/>
  <c r="D67" i="6"/>
  <c r="E82" i="5"/>
  <c r="E34" i="5"/>
  <c r="D23" i="4"/>
  <c r="H39" i="4"/>
  <c r="I132" i="3"/>
  <c r="F85" i="3"/>
  <c r="B67" i="3"/>
  <c r="I15" i="3"/>
  <c r="F66" i="5"/>
  <c r="B85" i="4"/>
  <c r="I29" i="4"/>
  <c r="F25" i="4"/>
  <c r="F132" i="3"/>
  <c r="G14" i="3"/>
  <c r="G105" i="3"/>
  <c r="G56" i="3"/>
  <c r="F38" i="3"/>
  <c r="F80" i="3"/>
  <c r="H71" i="3"/>
  <c r="D64" i="3"/>
  <c r="G34" i="2"/>
  <c r="I33" i="2"/>
  <c r="B82" i="2"/>
  <c r="G42" i="2"/>
  <c r="D12" i="2"/>
  <c r="E84" i="2"/>
  <c r="G45" i="2"/>
  <c r="G7" i="3"/>
  <c r="J35" i="2"/>
  <c r="F85" i="2"/>
  <c r="E19" i="2"/>
  <c r="D72" i="2"/>
  <c r="F82" i="2"/>
  <c r="F15" i="2"/>
  <c r="H41" i="2"/>
  <c r="J8" i="2"/>
  <c r="D32" i="2"/>
  <c r="D84" i="2"/>
  <c r="G46" i="2"/>
  <c r="D48" i="8"/>
  <c r="G49" i="8"/>
  <c r="H27" i="7"/>
  <c r="D47" i="7"/>
  <c r="J15" i="7"/>
  <c r="I23" i="6"/>
  <c r="G41" i="6"/>
  <c r="G38" i="5"/>
  <c r="G16" i="6"/>
  <c r="D28" i="6"/>
  <c r="E26" i="6"/>
  <c r="G75" i="5"/>
  <c r="F38" i="5"/>
  <c r="F21" i="5"/>
  <c r="D77" i="5"/>
  <c r="D94" i="5"/>
  <c r="G31" i="4"/>
  <c r="B61" i="4"/>
  <c r="E14" i="8"/>
  <c r="H120" i="3"/>
  <c r="H63" i="5"/>
  <c r="B39" i="3"/>
  <c r="J11" i="2"/>
  <c r="F69" i="6"/>
  <c r="B33" i="5"/>
  <c r="F13" i="4"/>
  <c r="G36" i="4"/>
  <c r="G83" i="3"/>
  <c r="J51" i="2"/>
  <c r="I31" i="2"/>
  <c r="B92" i="2"/>
  <c r="F64" i="2"/>
  <c r="H39" i="2"/>
  <c r="G16" i="7"/>
  <c r="G88" i="6"/>
  <c r="E80" i="6"/>
  <c r="D84" i="5"/>
  <c r="I25" i="4"/>
  <c r="F134" i="3"/>
  <c r="B27" i="5"/>
  <c r="B65" i="4"/>
  <c r="G78" i="4"/>
  <c r="J94" i="3"/>
  <c r="I90" i="3"/>
  <c r="D74" i="3"/>
  <c r="G109" i="3"/>
  <c r="F15" i="3"/>
  <c r="E99" i="3"/>
  <c r="H66" i="2"/>
  <c r="I65" i="2"/>
  <c r="M80" i="2"/>
  <c r="I63" i="2"/>
  <c r="H46" i="2"/>
  <c r="E139" i="3"/>
  <c r="E76" i="2"/>
  <c r="D15" i="2"/>
  <c r="D48" i="2"/>
  <c r="G88" i="2"/>
  <c r="I13" i="2"/>
  <c r="E82" i="2"/>
  <c r="B75" i="2"/>
  <c r="B48" i="2"/>
  <c r="G38" i="2"/>
  <c r="I64" i="3"/>
  <c r="G66" i="2"/>
  <c r="M51" i="2"/>
  <c r="B24" i="2"/>
  <c r="H87" i="2"/>
  <c r="M23" i="2"/>
  <c r="D21" i="2"/>
  <c r="K28" i="8"/>
  <c r="H35" i="7"/>
  <c r="J26" i="8"/>
  <c r="H13" i="7"/>
  <c r="D33" i="6"/>
  <c r="I43" i="6"/>
  <c r="F82" i="5"/>
  <c r="B18" i="6"/>
  <c r="F17" i="8"/>
  <c r="J13" i="7"/>
  <c r="B58" i="6"/>
  <c r="E45" i="6"/>
  <c r="F27" i="6"/>
  <c r="B56" i="5"/>
  <c r="B13" i="5"/>
  <c r="F21" i="4"/>
  <c r="E80" i="4"/>
  <c r="F27" i="4"/>
  <c r="B24" i="4"/>
  <c r="G130" i="3"/>
  <c r="H47" i="3"/>
  <c r="D25" i="3"/>
  <c r="H55" i="3"/>
  <c r="I89" i="3"/>
  <c r="J41" i="3"/>
  <c r="H102" i="3"/>
  <c r="E67" i="5"/>
  <c r="D65" i="5"/>
  <c r="F76" i="5"/>
  <c r="I22" i="4"/>
  <c r="B75" i="4"/>
  <c r="G37" i="4"/>
  <c r="F13" i="8"/>
  <c r="F24" i="7"/>
  <c r="G58" i="6"/>
  <c r="I45" i="6"/>
  <c r="H27" i="6"/>
  <c r="E56" i="5"/>
  <c r="E13" i="5"/>
  <c r="H21" i="4"/>
  <c r="F58" i="4"/>
  <c r="I117" i="3"/>
  <c r="D104" i="3"/>
  <c r="B10" i="3"/>
  <c r="I65" i="3"/>
  <c r="H13" i="5"/>
  <c r="B77" i="4"/>
  <c r="I38" i="4"/>
  <c r="H34" i="4"/>
  <c r="H48" i="3"/>
  <c r="G47" i="3"/>
  <c r="G114" i="3"/>
  <c r="G120" i="3"/>
  <c r="B37" i="3"/>
  <c r="D36" i="3"/>
  <c r="D65" i="3"/>
  <c r="D27" i="3"/>
  <c r="M73" i="2"/>
  <c r="M26" i="2"/>
  <c r="E17" i="2"/>
  <c r="M79" i="2"/>
  <c r="G30" i="2"/>
  <c r="G39" i="2"/>
  <c r="G43" i="3"/>
  <c r="H8" i="3"/>
  <c r="M58" i="2"/>
  <c r="G92" i="2"/>
  <c r="F13" i="2"/>
  <c r="E43" i="2"/>
  <c r="G56" i="2"/>
  <c r="H28" i="7"/>
  <c r="I25" i="5"/>
  <c r="I106" i="3"/>
  <c r="I31" i="3"/>
  <c r="F12" i="8"/>
  <c r="I44" i="4"/>
  <c r="E10" i="8"/>
  <c r="F25" i="3"/>
  <c r="E78" i="4"/>
  <c r="E31" i="3"/>
  <c r="D56" i="2"/>
  <c r="H37" i="2"/>
  <c r="J13" i="2"/>
  <c r="D41" i="2"/>
  <c r="B46" i="2"/>
  <c r="F14" i="6"/>
  <c r="F70" i="5"/>
  <c r="D90" i="5"/>
  <c r="D48" i="4"/>
  <c r="E138" i="3"/>
  <c r="G110" i="3"/>
  <c r="B21" i="5"/>
  <c r="E30" i="4"/>
  <c r="F97" i="3"/>
  <c r="I115" i="3"/>
  <c r="I112" i="3"/>
  <c r="E42" i="3"/>
  <c r="H29" i="3"/>
  <c r="E102" i="3"/>
  <c r="F7" i="3"/>
  <c r="H44" i="2"/>
  <c r="B70" i="2"/>
  <c r="I79" i="2"/>
  <c r="E32" i="2"/>
  <c r="J88" i="2"/>
  <c r="H35" i="2"/>
  <c r="I25" i="2"/>
  <c r="F68" i="2"/>
  <c r="M40" i="2"/>
  <c r="M37" i="2"/>
  <c r="M33" i="2"/>
  <c r="G17" i="2"/>
  <c r="G41" i="2"/>
  <c r="G47" i="2"/>
  <c r="J86" i="2"/>
  <c r="I27" i="3"/>
  <c r="F77" i="2"/>
  <c r="D26" i="2"/>
  <c r="G55" i="2"/>
  <c r="J54" i="2"/>
  <c r="D89" i="2"/>
  <c r="F45" i="2"/>
  <c r="H20" i="8"/>
  <c r="I32" i="7"/>
  <c r="K32" i="7"/>
  <c r="D21" i="7"/>
  <c r="F13" i="6"/>
  <c r="I55" i="6"/>
  <c r="D16" i="5"/>
  <c r="D7" i="6"/>
  <c r="E33" i="7"/>
  <c r="F21" i="7"/>
  <c r="B56" i="6"/>
  <c r="F7" i="6"/>
  <c r="D81" i="6"/>
  <c r="B45" i="5"/>
  <c r="D64" i="5"/>
  <c r="F65" i="4"/>
  <c r="H30" i="4"/>
  <c r="F18" i="4"/>
  <c r="B11" i="4"/>
  <c r="G87" i="3"/>
  <c r="H107" i="3"/>
  <c r="J57" i="3"/>
  <c r="D103" i="3"/>
  <c r="I142" i="3"/>
  <c r="I24" i="3"/>
  <c r="H44" i="3"/>
  <c r="E9" i="5"/>
  <c r="B64" i="5"/>
  <c r="F18" i="5"/>
  <c r="I10" i="4"/>
  <c r="D41" i="4"/>
  <c r="G58" i="4"/>
  <c r="B28" i="7"/>
  <c r="J21" i="7"/>
  <c r="G56" i="6"/>
  <c r="B37" i="6"/>
  <c r="F81" i="6"/>
  <c r="E45" i="5"/>
  <c r="F64" i="5"/>
  <c r="D45" i="4"/>
  <c r="D57" i="4"/>
  <c r="I87" i="3"/>
  <c r="B33" i="3"/>
  <c r="B82" i="3"/>
  <c r="J44" i="3"/>
  <c r="E64" i="5"/>
  <c r="B21" i="4"/>
  <c r="I58" i="4"/>
  <c r="E69" i="4"/>
  <c r="D88" i="3"/>
  <c r="G107" i="3"/>
  <c r="G25" i="3"/>
  <c r="G46" i="3"/>
  <c r="B42" i="3"/>
  <c r="F29" i="3"/>
  <c r="B102" i="3"/>
  <c r="D7" i="3"/>
  <c r="E83" i="2"/>
  <c r="D25" i="2"/>
  <c r="H55" i="2"/>
  <c r="E41" i="2"/>
  <c r="M63" i="2"/>
  <c r="M22" i="2"/>
  <c r="G28" i="3"/>
  <c r="G9" i="3"/>
  <c r="B58" i="2"/>
  <c r="H91" i="2"/>
  <c r="G76" i="2"/>
  <c r="F57" i="2"/>
  <c r="H17" i="2"/>
  <c r="H32" i="7"/>
  <c r="I22" i="5"/>
  <c r="I94" i="3"/>
  <c r="J30" i="3"/>
  <c r="B45" i="8"/>
  <c r="E62" i="4"/>
  <c r="G11" i="8"/>
  <c r="B77" i="3"/>
  <c r="H11" i="4"/>
  <c r="E119" i="3"/>
  <c r="D24" i="2"/>
  <c r="H79" i="3"/>
  <c r="M76" i="2"/>
  <c r="H94" i="2"/>
  <c r="D28" i="2"/>
  <c r="D38" i="6"/>
  <c r="B9" i="7"/>
  <c r="I41" i="5"/>
  <c r="F86" i="4"/>
  <c r="E97" i="3"/>
  <c r="G73" i="3"/>
  <c r="B52" i="5"/>
  <c r="D61" i="4"/>
  <c r="D118" i="3"/>
  <c r="I135" i="3"/>
  <c r="I111" i="3"/>
  <c r="F10" i="3"/>
  <c r="G41" i="3"/>
  <c r="F70" i="3"/>
  <c r="E8" i="3"/>
  <c r="J97" i="2"/>
  <c r="G50" i="2"/>
  <c r="B41" i="2"/>
  <c r="G29" i="2"/>
  <c r="B21" i="2"/>
  <c r="J74" i="2"/>
  <c r="M43" i="2"/>
  <c r="H81" i="2"/>
  <c r="D29" i="2"/>
  <c r="I34" i="2"/>
  <c r="D51" i="2"/>
  <c r="D62" i="2"/>
  <c r="M94" i="2"/>
  <c r="I32" i="2"/>
  <c r="B59" i="2"/>
  <c r="I7" i="3"/>
  <c r="H85" i="2"/>
  <c r="F72" i="2"/>
  <c r="H15" i="2"/>
  <c r="B53" i="2"/>
  <c r="F84" i="2"/>
  <c r="F48" i="8"/>
  <c r="I49" i="8"/>
  <c r="H11" i="8"/>
  <c r="E24" i="7"/>
  <c r="D39" i="7"/>
  <c r="B31" i="6"/>
  <c r="I41" i="6"/>
  <c r="D39" i="5"/>
  <c r="D22" i="8"/>
  <c r="G24" i="7"/>
  <c r="F30" i="7"/>
  <c r="B54" i="6"/>
  <c r="F70" i="6"/>
  <c r="G73" i="6"/>
  <c r="G70" i="5"/>
  <c r="H59" i="5"/>
  <c r="I31" i="4"/>
  <c r="E61" i="4"/>
  <c r="D13" i="4"/>
  <c r="G12" i="4"/>
  <c r="G137" i="3"/>
  <c r="H116" i="3"/>
  <c r="J113" i="3"/>
  <c r="I32" i="3"/>
  <c r="I140" i="3"/>
  <c r="I23" i="3"/>
  <c r="D40" i="3"/>
  <c r="E8" i="5"/>
  <c r="B99" i="5"/>
  <c r="E94" i="5"/>
  <c r="I90" i="4"/>
  <c r="D74" i="4"/>
  <c r="D32" i="8"/>
  <c r="K24" i="7"/>
  <c r="J30" i="7"/>
  <c r="G54" i="6"/>
  <c r="H70" i="6"/>
  <c r="I73" i="6"/>
  <c r="D53" i="5"/>
  <c r="D33" i="5"/>
  <c r="B44" i="4"/>
  <c r="E79" i="4"/>
  <c r="I129" i="3"/>
  <c r="B49" i="3"/>
  <c r="B123" i="3"/>
  <c r="J143" i="3"/>
  <c r="E60" i="5"/>
  <c r="B66" i="4"/>
  <c r="G9" i="4"/>
  <c r="E54" i="4"/>
  <c r="F87" i="3"/>
  <c r="G116" i="3"/>
  <c r="H33" i="3"/>
  <c r="G84" i="3"/>
  <c r="H54" i="3"/>
  <c r="E35" i="3"/>
  <c r="B44" i="3"/>
  <c r="D9" i="3"/>
  <c r="H92" i="2"/>
  <c r="F43" i="2"/>
  <c r="G15" i="2"/>
  <c r="I94" i="2"/>
  <c r="E47" i="2"/>
  <c r="E38" i="2"/>
  <c r="H99" i="3"/>
  <c r="H20" i="3"/>
  <c r="D74" i="2"/>
  <c r="I44" i="2"/>
  <c r="H33" i="2"/>
  <c r="G71" i="2"/>
  <c r="I24" i="2"/>
  <c r="F67" i="2"/>
  <c r="H93" i="2"/>
  <c r="H30" i="2"/>
  <c r="G10" i="2"/>
  <c r="H22" i="2"/>
  <c r="J21" i="2"/>
  <c r="E19" i="8"/>
  <c r="H14" i="8"/>
  <c r="E22" i="7"/>
  <c r="E44" i="7"/>
  <c r="B52" i="6"/>
  <c r="E68" i="6"/>
  <c r="F30" i="5"/>
  <c r="E72" i="6"/>
  <c r="H8" i="6"/>
  <c r="F42" i="6"/>
  <c r="G30" i="5"/>
  <c r="I81" i="5"/>
  <c r="H26" i="5"/>
  <c r="I78" i="5"/>
  <c r="G32" i="5"/>
  <c r="F84" i="4"/>
  <c r="D76" i="4"/>
  <c r="D39" i="4"/>
  <c r="I34" i="4"/>
  <c r="E132" i="3"/>
  <c r="F51" i="3"/>
  <c r="H115" i="3"/>
  <c r="F56" i="3"/>
  <c r="I48" i="6"/>
  <c r="H44" i="4"/>
  <c r="E57" i="5"/>
  <c r="G20" i="3"/>
  <c r="D10" i="7"/>
  <c r="G96" i="3"/>
  <c r="F26" i="6"/>
  <c r="J102" i="3"/>
  <c r="H18" i="3"/>
  <c r="D141" i="3"/>
  <c r="I75" i="2"/>
  <c r="B7" i="3"/>
  <c r="I43" i="2"/>
  <c r="F8" i="2"/>
  <c r="D12" i="8"/>
  <c r="J38" i="7"/>
  <c r="F60" i="6"/>
  <c r="B74" i="5"/>
  <c r="G44" i="4"/>
  <c r="E96" i="3"/>
  <c r="G123" i="3"/>
  <c r="I60" i="5"/>
  <c r="I9" i="4"/>
  <c r="H87" i="3"/>
  <c r="I92" i="3"/>
  <c r="I84" i="3"/>
  <c r="D13" i="3"/>
  <c r="G35" i="3"/>
  <c r="E44" i="3"/>
  <c r="F9" i="3"/>
  <c r="B20" i="2"/>
  <c r="B17" i="2"/>
  <c r="M93" i="2"/>
  <c r="H23" i="2"/>
  <c r="E43" i="3"/>
  <c r="H73" i="2"/>
  <c r="D57" i="2"/>
  <c r="F41" i="2"/>
  <c r="I60" i="2"/>
  <c r="B77" i="2"/>
  <c r="F25" i="2"/>
  <c r="I15" i="2"/>
  <c r="E78" i="2"/>
  <c r="M29" i="2"/>
  <c r="E28" i="2"/>
  <c r="I9" i="3"/>
  <c r="J91" i="2"/>
  <c r="H57" i="2"/>
  <c r="D64" i="2"/>
  <c r="E12" i="2"/>
  <c r="F39" i="2"/>
  <c r="F11" i="8"/>
  <c r="E45" i="7"/>
  <c r="I19" i="8"/>
  <c r="G22" i="7"/>
  <c r="D30" i="7"/>
  <c r="B10" i="6"/>
  <c r="I81" i="6"/>
  <c r="I11" i="5"/>
  <c r="B15" i="8"/>
  <c r="I22" i="7"/>
  <c r="B14" i="6"/>
  <c r="D91" i="5"/>
  <c r="D10" i="6"/>
  <c r="I30" i="5"/>
  <c r="D27" i="5"/>
  <c r="I32" i="5"/>
  <c r="G88" i="4"/>
  <c r="E60" i="4"/>
  <c r="B79" i="4"/>
  <c r="G98" i="3"/>
  <c r="G129" i="3"/>
  <c r="H50" i="3"/>
  <c r="J76" i="3"/>
  <c r="I74" i="3"/>
  <c r="I81" i="3"/>
  <c r="I34" i="3"/>
  <c r="F143" i="3"/>
  <c r="E63" i="5"/>
  <c r="B60" i="5"/>
  <c r="I87" i="4"/>
  <c r="G45" i="4"/>
  <c r="G20" i="4"/>
  <c r="K15" i="8"/>
  <c r="B23" i="7"/>
  <c r="B62" i="6"/>
  <c r="B11" i="6"/>
  <c r="F10" i="6"/>
  <c r="B91" i="5"/>
  <c r="F27" i="5"/>
  <c r="B72" i="5"/>
  <c r="H76" i="4"/>
  <c r="E71" i="4"/>
  <c r="J51" i="3"/>
  <c r="D112" i="3"/>
  <c r="D109" i="3"/>
  <c r="G37" i="5"/>
  <c r="E98" i="5"/>
  <c r="H31" i="4"/>
  <c r="G15" i="4"/>
  <c r="D24" i="4"/>
  <c r="H96" i="3"/>
  <c r="G50" i="3"/>
  <c r="H77" i="3"/>
  <c r="G55" i="3"/>
  <c r="D82" i="3"/>
  <c r="E12" i="3"/>
  <c r="B40" i="3"/>
  <c r="H19" i="3"/>
  <c r="J44" i="2"/>
  <c r="H71" i="2"/>
  <c r="M64" i="2"/>
  <c r="B78" i="2"/>
  <c r="G32" i="2"/>
  <c r="H86" i="2"/>
  <c r="G64" i="3"/>
  <c r="G139" i="3"/>
  <c r="E66" i="2"/>
  <c r="J96" i="2"/>
  <c r="I51" i="2"/>
  <c r="H18" i="2"/>
  <c r="M62" i="2"/>
  <c r="D49" i="2"/>
  <c r="F87" i="2"/>
  <c r="F48" i="2"/>
  <c r="I23" i="2"/>
  <c r="F38" i="2"/>
  <c r="I7" i="6"/>
  <c r="D88" i="4"/>
  <c r="E49" i="4"/>
  <c r="D19" i="3"/>
  <c r="D29" i="7"/>
  <c r="G128" i="3"/>
  <c r="F96" i="5"/>
  <c r="F40" i="3"/>
  <c r="H59" i="3"/>
  <c r="D70" i="3"/>
  <c r="B79" i="2"/>
  <c r="D8" i="3"/>
  <c r="J57" i="2"/>
  <c r="G12" i="2"/>
  <c r="K16" i="8"/>
  <c r="I19" i="7"/>
  <c r="H23" i="6"/>
  <c r="G69" i="5"/>
  <c r="B62" i="4"/>
  <c r="E128" i="3"/>
  <c r="H31" i="3"/>
  <c r="I59" i="5"/>
  <c r="I27" i="4"/>
  <c r="F108" i="3"/>
  <c r="I68" i="3"/>
  <c r="I124" i="3"/>
  <c r="H89" i="3"/>
  <c r="H24" i="3"/>
  <c r="E101" i="3"/>
  <c r="E20" i="3"/>
  <c r="E13" i="2"/>
  <c r="F55" i="2"/>
  <c r="E87" i="2"/>
  <c r="J60" i="2"/>
  <c r="E28" i="3"/>
  <c r="D85" i="2"/>
  <c r="F18" i="2"/>
  <c r="H78" i="2"/>
  <c r="M9" i="2"/>
  <c r="G83" i="2"/>
  <c r="H43" i="2"/>
  <c r="B14" i="2"/>
  <c r="I87" i="2"/>
  <c r="E89" i="2"/>
  <c r="G21" i="2"/>
  <c r="I139" i="3"/>
  <c r="B44" i="2"/>
  <c r="J18" i="2"/>
  <c r="F49" i="2"/>
  <c r="H48" i="2"/>
  <c r="H38" i="2"/>
  <c r="K33" i="8"/>
  <c r="J30" i="8"/>
  <c r="G18" i="8"/>
  <c r="B15" i="7"/>
  <c r="I49" i="7"/>
  <c r="B44" i="6"/>
  <c r="F40" i="6"/>
  <c r="G48" i="7"/>
  <c r="K18" i="8"/>
  <c r="E15" i="7"/>
  <c r="H91" i="6"/>
  <c r="F75" i="5"/>
  <c r="H36" i="6"/>
  <c r="I96" i="5"/>
  <c r="H73" i="5"/>
  <c r="I43" i="5"/>
  <c r="B43" i="4"/>
  <c r="D29" i="4"/>
  <c r="B25" i="4"/>
  <c r="G118" i="3"/>
  <c r="G127" i="3"/>
  <c r="H58" i="3"/>
  <c r="F91" i="3"/>
  <c r="I38" i="3"/>
  <c r="I30" i="3"/>
  <c r="I16" i="3"/>
  <c r="E26" i="5"/>
  <c r="E51" i="5"/>
  <c r="B59" i="5"/>
  <c r="I86" i="4"/>
  <c r="B64" i="4"/>
  <c r="D73" i="4"/>
  <c r="I29" i="8"/>
  <c r="I15" i="7"/>
  <c r="F45" i="6"/>
  <c r="D71" i="5"/>
  <c r="D30" i="6"/>
  <c r="B97" i="5"/>
  <c r="D22" i="5"/>
  <c r="B31" i="5"/>
  <c r="E41" i="4"/>
  <c r="H54" i="4"/>
  <c r="J14" i="3"/>
  <c r="H111" i="3"/>
  <c r="B53" i="3"/>
  <c r="G88" i="5"/>
  <c r="F48" i="5"/>
  <c r="E89" i="4"/>
  <c r="E18" i="4"/>
  <c r="E7" i="4"/>
  <c r="D128" i="3"/>
  <c r="G58" i="3"/>
  <c r="H49" i="3"/>
  <c r="G103" i="3"/>
  <c r="D144" i="3"/>
  <c r="E45" i="3"/>
  <c r="B100" i="3"/>
  <c r="J36" i="2"/>
  <c r="B96" i="2"/>
  <c r="I17" i="2"/>
  <c r="G94" i="5"/>
  <c r="F35" i="2"/>
  <c r="I9" i="6"/>
  <c r="E94" i="3"/>
  <c r="I60" i="3"/>
  <c r="G17" i="3"/>
  <c r="I64" i="2"/>
  <c r="F91" i="2"/>
  <c r="J92" i="2"/>
  <c r="G84" i="2"/>
  <c r="F70" i="2"/>
  <c r="G19" i="8"/>
  <c r="G52" i="6"/>
  <c r="F53" i="8"/>
  <c r="D85" i="6"/>
  <c r="F76" i="4"/>
  <c r="H51" i="3"/>
  <c r="I80" i="3"/>
  <c r="B98" i="5"/>
  <c r="F46" i="8"/>
  <c r="F85" i="6"/>
  <c r="B93" i="4"/>
  <c r="D35" i="3"/>
  <c r="G16" i="4"/>
  <c r="G134" i="3"/>
  <c r="D43" i="3"/>
  <c r="I50" i="2"/>
  <c r="J23" i="2"/>
  <c r="G19" i="3"/>
  <c r="D20" i="2"/>
  <c r="E55" i="2"/>
  <c r="D94" i="2"/>
  <c r="B11" i="2"/>
  <c r="D52" i="2"/>
  <c r="E37" i="2"/>
  <c r="H30" i="8"/>
  <c r="K10" i="7"/>
  <c r="J20" i="7"/>
  <c r="I30" i="6"/>
  <c r="G90" i="5"/>
  <c r="H17" i="6"/>
  <c r="D34" i="6"/>
  <c r="G96" i="5"/>
  <c r="G89" i="5"/>
  <c r="G66" i="5"/>
  <c r="G43" i="5"/>
  <c r="D65" i="4"/>
  <c r="H72" i="4"/>
  <c r="H69" i="4"/>
  <c r="E117" i="3"/>
  <c r="F47" i="3"/>
  <c r="H57" i="3"/>
  <c r="G32" i="3"/>
  <c r="G140" i="3"/>
  <c r="G23" i="3"/>
  <c r="H52" i="3"/>
  <c r="I77" i="5"/>
  <c r="G90" i="4"/>
  <c r="E36" i="4"/>
  <c r="B55" i="4"/>
  <c r="F61" i="3"/>
  <c r="F106" i="3"/>
  <c r="E68" i="3"/>
  <c r="E111" i="3"/>
  <c r="H13" i="3"/>
  <c r="B41" i="3"/>
  <c r="I44" i="3"/>
  <c r="J9" i="3"/>
  <c r="M20" i="2"/>
  <c r="E67" i="2"/>
  <c r="H10" i="2"/>
  <c r="F8" i="3"/>
  <c r="B43" i="2"/>
  <c r="I12" i="2"/>
  <c r="M77" i="2"/>
  <c r="F56" i="2"/>
  <c r="G61" i="2"/>
  <c r="J37" i="2"/>
  <c r="F20" i="2"/>
  <c r="F75" i="2"/>
  <c r="H59" i="2"/>
  <c r="G35" i="5"/>
  <c r="G91" i="4"/>
  <c r="E29" i="4"/>
  <c r="D25" i="4"/>
  <c r="D132" i="3"/>
  <c r="E14" i="3"/>
  <c r="E105" i="3"/>
  <c r="E56" i="3"/>
  <c r="D38" i="3"/>
  <c r="D80" i="3"/>
  <c r="F71" i="3"/>
  <c r="I21" i="3"/>
  <c r="G77" i="2"/>
  <c r="M17" i="2"/>
  <c r="B61" i="2"/>
  <c r="F37" i="2"/>
  <c r="M19" i="2"/>
  <c r="H79" i="2"/>
  <c r="D59" i="2"/>
  <c r="I57" i="2"/>
  <c r="B94" i="2"/>
  <c r="I52" i="2"/>
  <c r="H34" i="2"/>
  <c r="E62" i="2"/>
  <c r="B23" i="2"/>
  <c r="M47" i="2"/>
  <c r="F33" i="2"/>
  <c r="H21" i="2"/>
  <c r="J7" i="2"/>
  <c r="I92" i="2"/>
  <c r="F14" i="2"/>
  <c r="G75" i="2"/>
  <c r="M91" i="2"/>
  <c r="I7" i="2"/>
  <c r="H36" i="2"/>
  <c r="E10" i="2"/>
  <c r="I72" i="6"/>
  <c r="H50" i="2"/>
  <c r="H75" i="6"/>
  <c r="E118" i="3"/>
  <c r="H86" i="5"/>
  <c r="E104" i="3"/>
  <c r="H62" i="2"/>
  <c r="M18" i="2"/>
  <c r="D18" i="5"/>
  <c r="E134" i="3"/>
  <c r="F62" i="2"/>
  <c r="B23" i="4"/>
  <c r="G58" i="2"/>
  <c r="I69" i="6"/>
  <c r="E93" i="3"/>
  <c r="J26" i="3"/>
  <c r="H16" i="3"/>
  <c r="B68" i="2"/>
  <c r="H96" i="2"/>
  <c r="B91" i="2"/>
  <c r="I39" i="2"/>
  <c r="H82" i="2"/>
  <c r="J38" i="8"/>
  <c r="F79" i="6"/>
  <c r="K45" i="7"/>
  <c r="D57" i="6"/>
  <c r="G42" i="4"/>
  <c r="H60" i="3"/>
  <c r="I36" i="3"/>
  <c r="H32" i="5"/>
  <c r="I46" i="7"/>
  <c r="F57" i="6"/>
  <c r="G60" i="4"/>
  <c r="D45" i="3"/>
  <c r="D26" i="4"/>
  <c r="G90" i="3"/>
  <c r="D28" i="3"/>
  <c r="E68" i="2"/>
  <c r="B89" i="2"/>
  <c r="H27" i="2"/>
  <c r="J26" i="2"/>
  <c r="G16" i="2"/>
  <c r="G7" i="2"/>
  <c r="E40" i="2"/>
  <c r="E86" i="2"/>
  <c r="D11" i="8"/>
  <c r="G53" i="8"/>
  <c r="I37" i="7"/>
  <c r="J37" i="7"/>
  <c r="I84" i="6"/>
  <c r="D82" i="5"/>
  <c r="D70" i="6"/>
  <c r="H15" i="6"/>
  <c r="G17" i="5"/>
  <c r="E70" i="5"/>
  <c r="I14" i="5"/>
  <c r="G95" i="5"/>
  <c r="E88" i="4"/>
  <c r="F37" i="4"/>
  <c r="D54" i="4"/>
  <c r="E130" i="3"/>
  <c r="F107" i="3"/>
  <c r="H113" i="3"/>
  <c r="G74" i="3"/>
  <c r="G81" i="3"/>
  <c r="G34" i="3"/>
  <c r="B26" i="5"/>
  <c r="I84" i="5"/>
  <c r="G32" i="4"/>
  <c r="E27" i="4"/>
  <c r="B78" i="4"/>
  <c r="H137" i="3"/>
  <c r="F94" i="3"/>
  <c r="E57" i="3"/>
  <c r="E124" i="3"/>
  <c r="D89" i="3"/>
  <c r="D24" i="3"/>
  <c r="I40" i="3"/>
  <c r="H139" i="3"/>
  <c r="F76" i="2"/>
  <c r="B80" i="2"/>
  <c r="M84" i="2"/>
  <c r="E19" i="3"/>
  <c r="D65" i="2"/>
  <c r="H47" i="2"/>
  <c r="I85" i="2"/>
  <c r="H16" i="2"/>
  <c r="E63" i="2"/>
  <c r="J99" i="3"/>
  <c r="J33" i="2"/>
  <c r="D78" i="2"/>
  <c r="B88" i="2"/>
  <c r="D13" i="5"/>
  <c r="G46" i="4"/>
  <c r="E38" i="4"/>
  <c r="F34" i="4"/>
  <c r="F48" i="3"/>
  <c r="E47" i="3"/>
  <c r="E114" i="3"/>
  <c r="E120" i="3"/>
  <c r="J72" i="3"/>
  <c r="H53" i="3"/>
  <c r="J141" i="3"/>
  <c r="I63" i="3"/>
  <c r="E85" i="2"/>
  <c r="D16" i="2"/>
  <c r="F99" i="3"/>
  <c r="F93" i="2"/>
  <c r="E65" i="2"/>
  <c r="D46" i="2"/>
  <c r="G9" i="2"/>
  <c r="J32" i="2"/>
  <c r="J21" i="3"/>
  <c r="M38" i="2"/>
  <c r="B29" i="2"/>
  <c r="E39" i="5"/>
  <c r="B73" i="4"/>
  <c r="H81" i="3"/>
  <c r="I26" i="2"/>
  <c r="H31" i="2"/>
  <c r="E97" i="2"/>
  <c r="F9" i="7"/>
  <c r="J37" i="3"/>
  <c r="D56" i="5"/>
  <c r="F41" i="4"/>
  <c r="M65" i="2"/>
  <c r="G27" i="3"/>
  <c r="B90" i="2"/>
  <c r="H40" i="7"/>
  <c r="D40" i="6"/>
  <c r="D9" i="5"/>
  <c r="F60" i="3"/>
  <c r="F102" i="3"/>
  <c r="F59" i="3"/>
  <c r="D66" i="3"/>
  <c r="D95" i="2"/>
  <c r="B9" i="5"/>
  <c r="D28" i="4"/>
  <c r="G40" i="8"/>
  <c r="G39" i="3"/>
  <c r="M56" i="2"/>
  <c r="F58" i="6"/>
  <c r="H45" i="3"/>
  <c r="J33" i="3"/>
  <c r="F43" i="3"/>
  <c r="G54" i="2"/>
  <c r="D82" i="2"/>
  <c r="J71" i="2"/>
  <c r="I45" i="2"/>
  <c r="H42" i="2"/>
  <c r="J14" i="8"/>
  <c r="G68" i="6"/>
  <c r="H9" i="7"/>
  <c r="I46" i="5"/>
  <c r="F39" i="4"/>
  <c r="D85" i="3"/>
  <c r="G15" i="3"/>
  <c r="I91" i="4"/>
  <c r="D19" i="7"/>
  <c r="B93" i="5"/>
  <c r="E11" i="4"/>
  <c r="G9" i="5"/>
  <c r="H138" i="3"/>
  <c r="H75" i="3"/>
  <c r="B35" i="2"/>
  <c r="I49" i="2"/>
  <c r="J46" i="2"/>
  <c r="I36" i="2"/>
  <c r="M25" i="2"/>
  <c r="D14" i="2"/>
  <c r="H54" i="2"/>
  <c r="F29" i="2"/>
  <c r="F59" i="2"/>
  <c r="I33" i="8"/>
  <c r="F26" i="8"/>
  <c r="D9" i="7"/>
  <c r="E49" i="7"/>
  <c r="E57" i="6"/>
  <c r="H40" i="5"/>
  <c r="F22" i="6"/>
  <c r="D27" i="6"/>
  <c r="G46" i="5"/>
  <c r="F11" i="5"/>
  <c r="I12" i="5"/>
  <c r="E18" i="5"/>
  <c r="G83" i="4"/>
  <c r="H36" i="4"/>
  <c r="I68" i="4"/>
  <c r="E87" i="3"/>
  <c r="F116" i="3"/>
  <c r="H76" i="3"/>
  <c r="G38" i="3"/>
  <c r="G30" i="3"/>
  <c r="G16" i="3"/>
  <c r="B22" i="5"/>
  <c r="F32" i="5"/>
  <c r="F43" i="4"/>
  <c r="E57" i="4"/>
  <c r="F11" i="4"/>
  <c r="D129" i="3"/>
  <c r="F93" i="3"/>
  <c r="E113" i="3"/>
  <c r="E83" i="3"/>
  <c r="J144" i="3"/>
  <c r="D23" i="3"/>
  <c r="I100" i="3"/>
  <c r="G27" i="2"/>
  <c r="J25" i="2"/>
  <c r="M41" i="2"/>
  <c r="G31" i="2"/>
  <c r="I58" i="2"/>
  <c r="E56" i="2"/>
  <c r="B40" i="2"/>
  <c r="D44" i="2"/>
  <c r="E64" i="2"/>
  <c r="J40" i="2"/>
  <c r="J63" i="3"/>
  <c r="E25" i="2"/>
  <c r="M53" i="2"/>
  <c r="G37" i="2"/>
  <c r="I85" i="5"/>
  <c r="G10" i="4"/>
  <c r="E58" i="4"/>
  <c r="B69" i="4"/>
  <c r="H130" i="3"/>
  <c r="E107" i="3"/>
  <c r="E25" i="3"/>
  <c r="E46" i="3"/>
  <c r="J10" i="3"/>
  <c r="D29" i="3"/>
  <c r="J70" i="3"/>
  <c r="I8" i="3"/>
  <c r="I96" i="2"/>
  <c r="M68" i="2"/>
  <c r="F40" i="2"/>
  <c r="F63" i="3"/>
  <c r="J72" i="2"/>
  <c r="G53" i="2"/>
  <c r="B37" i="2"/>
  <c r="B50" i="2"/>
  <c r="E8" i="2"/>
  <c r="H90" i="2"/>
  <c r="D96" i="2"/>
  <c r="D81" i="2"/>
  <c r="F52" i="2"/>
  <c r="I89" i="2"/>
  <c r="E71" i="2"/>
  <c r="E73" i="2"/>
  <c r="F24" i="2"/>
  <c r="M48" i="2"/>
  <c r="H13" i="2"/>
  <c r="H95" i="2"/>
  <c r="J28" i="2"/>
  <c r="F19" i="3"/>
  <c r="F50" i="2"/>
  <c r="H11" i="2"/>
  <c r="E90" i="2"/>
  <c r="E95" i="2"/>
  <c r="F97" i="2"/>
  <c r="G43" i="2"/>
  <c r="F16" i="5"/>
  <c r="D75" i="2"/>
  <c r="I91" i="6"/>
  <c r="F30" i="4"/>
  <c r="G89" i="3"/>
  <c r="H131" i="3"/>
  <c r="M83" i="2"/>
  <c r="F28" i="2"/>
  <c r="I16" i="2"/>
  <c r="E16" i="4"/>
  <c r="F75" i="3"/>
  <c r="H38" i="4"/>
  <c r="H21" i="8"/>
  <c r="G68" i="3"/>
  <c r="B56" i="2"/>
  <c r="F82" i="6"/>
  <c r="H17" i="3"/>
  <c r="I57" i="3"/>
  <c r="E79" i="3"/>
  <c r="I8" i="2"/>
  <c r="F17" i="2"/>
  <c r="B18" i="2"/>
  <c r="I43" i="3"/>
  <c r="D79" i="2"/>
  <c r="I53" i="8"/>
  <c r="B75" i="6"/>
  <c r="F25" i="6"/>
  <c r="B42" i="5"/>
  <c r="H37" i="4"/>
  <c r="F92" i="3"/>
  <c r="G71" i="3"/>
  <c r="I84" i="4"/>
  <c r="D52" i="6"/>
  <c r="E42" i="5"/>
  <c r="I98" i="3"/>
  <c r="G63" i="5"/>
  <c r="D97" i="3"/>
  <c r="D110" i="3"/>
  <c r="E74" i="2"/>
  <c r="B81" i="2"/>
  <c r="B28" i="2"/>
  <c r="F34" i="2"/>
  <c r="B25" i="2"/>
  <c r="H68" i="2"/>
  <c r="I53" i="2"/>
  <c r="J89" i="2"/>
  <c r="H28" i="2"/>
  <c r="H38" i="8"/>
  <c r="F35" i="7"/>
  <c r="H24" i="6"/>
  <c r="D79" i="6"/>
  <c r="G43" i="6"/>
  <c r="G11" i="5"/>
  <c r="D69" i="6"/>
  <c r="F89" i="6"/>
  <c r="I100" i="5"/>
  <c r="D37" i="5"/>
  <c r="B65" i="5"/>
  <c r="H47" i="4"/>
  <c r="E42" i="4"/>
  <c r="D27" i="4"/>
  <c r="F7" i="4"/>
  <c r="E137" i="3"/>
  <c r="F50" i="3"/>
  <c r="D91" i="3"/>
  <c r="H37" i="3"/>
  <c r="G80" i="3"/>
  <c r="E15" i="3"/>
  <c r="B67" i="5"/>
  <c r="D76" i="5"/>
  <c r="F82" i="4"/>
  <c r="G14" i="4"/>
  <c r="H12" i="4"/>
  <c r="F136" i="3"/>
  <c r="E86" i="3"/>
  <c r="E76" i="3"/>
  <c r="E133" i="3"/>
  <c r="F123" i="3"/>
  <c r="D34" i="3"/>
  <c r="J43" i="3"/>
  <c r="I35" i="2"/>
  <c r="E57" i="2"/>
  <c r="I78" i="2"/>
  <c r="E52" i="2"/>
  <c r="D34" i="2"/>
  <c r="M55" i="2"/>
  <c r="H89" i="2"/>
  <c r="H19" i="2"/>
  <c r="B49" i="2"/>
  <c r="D23" i="2"/>
  <c r="J20" i="3"/>
  <c r="I71" i="2"/>
  <c r="D61" i="2"/>
  <c r="D143" i="3"/>
  <c r="I33" i="5"/>
  <c r="E45" i="4"/>
  <c r="E9" i="4"/>
  <c r="B54" i="4"/>
  <c r="D87" i="3"/>
  <c r="E116" i="3"/>
  <c r="F33" i="3"/>
  <c r="E84" i="3"/>
  <c r="F54" i="3"/>
  <c r="B35" i="3"/>
  <c r="I101" i="3"/>
  <c r="I20" i="3"/>
  <c r="D19" i="2"/>
  <c r="I81" i="2"/>
  <c r="F20" i="3"/>
  <c r="F30" i="2"/>
  <c r="J79" i="3"/>
  <c r="D9" i="2"/>
  <c r="B51" i="2"/>
  <c r="I143" i="3"/>
  <c r="I67" i="2"/>
  <c r="E61" i="2"/>
  <c r="G132" i="3"/>
  <c r="B58" i="5"/>
  <c r="E17" i="3"/>
  <c r="M97" i="2"/>
  <c r="E9" i="2"/>
  <c r="F13" i="7"/>
  <c r="E53" i="6"/>
  <c r="D21" i="4"/>
  <c r="F114" i="3"/>
  <c r="H41" i="3"/>
  <c r="E28" i="4"/>
  <c r="E126" i="3"/>
  <c r="J27" i="3"/>
  <c r="F79" i="3"/>
  <c r="G93" i="2"/>
  <c r="E60" i="2"/>
  <c r="F138" i="3"/>
  <c r="I60" i="6"/>
  <c r="I123" i="3"/>
  <c r="B20" i="3"/>
  <c r="I40" i="2"/>
  <c r="D63" i="5"/>
  <c r="G48" i="4"/>
  <c r="J75" i="3"/>
  <c r="E35" i="2"/>
  <c r="E39" i="2"/>
  <c r="F54" i="2"/>
  <c r="G68" i="2"/>
  <c r="J27" i="2"/>
  <c r="D47" i="2"/>
  <c r="J20" i="8"/>
  <c r="H30" i="5"/>
  <c r="H13" i="6"/>
  <c r="F9" i="5"/>
  <c r="B71" i="4"/>
  <c r="H56" i="3"/>
  <c r="E37" i="5"/>
  <c r="F31" i="4"/>
  <c r="E17" i="6"/>
  <c r="H9" i="5"/>
  <c r="J107" i="3"/>
  <c r="D58" i="5"/>
  <c r="G51" i="3"/>
  <c r="F81" i="3"/>
  <c r="E20" i="2"/>
  <c r="G87" i="2"/>
  <c r="E21" i="2"/>
  <c r="D77" i="2"/>
  <c r="F65" i="2"/>
  <c r="H80" i="2"/>
  <c r="M12" i="2"/>
  <c r="M60" i="2"/>
  <c r="I88" i="2"/>
  <c r="B18" i="8"/>
  <c r="G32" i="7"/>
  <c r="D17" i="7"/>
  <c r="D91" i="6"/>
  <c r="G55" i="6"/>
  <c r="B48" i="7"/>
  <c r="F36" i="6"/>
  <c r="H66" i="6"/>
  <c r="I19" i="5"/>
  <c r="F73" i="5"/>
  <c r="H85" i="5"/>
  <c r="D85" i="4"/>
  <c r="G95" i="4"/>
  <c r="D18" i="4"/>
  <c r="E12" i="4"/>
  <c r="E129" i="3"/>
  <c r="F58" i="3"/>
  <c r="H125" i="3"/>
  <c r="H42" i="3"/>
  <c r="G36" i="3"/>
  <c r="E71" i="3"/>
  <c r="B8" i="5"/>
  <c r="B94" i="5"/>
  <c r="F93" i="4"/>
  <c r="B13" i="4"/>
  <c r="D98" i="3"/>
  <c r="F18" i="3"/>
  <c r="E115" i="3"/>
  <c r="E91" i="3"/>
  <c r="D32" i="3"/>
  <c r="B31" i="3"/>
  <c r="D16" i="3"/>
  <c r="J28" i="3"/>
  <c r="M74" i="2"/>
  <c r="M70" i="2"/>
  <c r="F7" i="2"/>
  <c r="I28" i="2"/>
  <c r="E92" i="2"/>
  <c r="H64" i="2"/>
  <c r="B9" i="2"/>
  <c r="B33" i="2"/>
  <c r="M75" i="2"/>
  <c r="H9" i="2"/>
  <c r="M36" i="2"/>
  <c r="D69" i="2"/>
  <c r="E11" i="2"/>
  <c r="B37" i="5"/>
  <c r="I49" i="5"/>
  <c r="D31" i="4"/>
  <c r="E15" i="4"/>
  <c r="H68" i="4"/>
  <c r="F96" i="3"/>
  <c r="E50" i="3"/>
  <c r="F77" i="3"/>
  <c r="E55" i="3"/>
  <c r="J142" i="3"/>
  <c r="B12" i="3"/>
  <c r="I52" i="3"/>
  <c r="H51" i="2"/>
  <c r="G36" i="2"/>
  <c r="M14" i="2"/>
  <c r="B72" i="2"/>
  <c r="G24" i="2"/>
  <c r="D8" i="2"/>
  <c r="D66" i="5"/>
  <c r="H49" i="5"/>
  <c r="G84" i="4"/>
  <c r="B119" i="3"/>
  <c r="D13" i="2"/>
  <c r="D73" i="2"/>
  <c r="E51" i="3"/>
  <c r="I22" i="6"/>
  <c r="J31" i="3"/>
  <c r="I27" i="2"/>
  <c r="J29" i="2"/>
  <c r="E36" i="5"/>
  <c r="G47" i="4"/>
  <c r="H32" i="3"/>
  <c r="F58" i="2"/>
  <c r="I22" i="2"/>
  <c r="H8" i="2"/>
  <c r="E81" i="2"/>
  <c r="B36" i="2"/>
  <c r="F32" i="2"/>
  <c r="G45" i="7"/>
  <c r="F29" i="5"/>
  <c r="E10" i="6"/>
  <c r="D52" i="5"/>
  <c r="B70" i="4"/>
  <c r="D120" i="3"/>
  <c r="E22" i="5"/>
  <c r="D62" i="4"/>
  <c r="I10" i="6"/>
  <c r="F52" i="5"/>
  <c r="J50" i="3"/>
  <c r="B48" i="4"/>
  <c r="G60" i="3"/>
  <c r="F30" i="3"/>
  <c r="G13" i="2"/>
  <c r="I54" i="2"/>
  <c r="H21" i="3"/>
  <c r="H83" i="2"/>
  <c r="D70" i="2"/>
  <c r="F42" i="2"/>
  <c r="B12" i="2"/>
  <c r="B60" i="2"/>
  <c r="M90" i="2"/>
  <c r="I28" i="8"/>
  <c r="B24" i="7"/>
  <c r="B27" i="7"/>
  <c r="F71" i="6"/>
  <c r="G81" i="6"/>
  <c r="B78" i="6"/>
  <c r="D68" i="6"/>
  <c r="E73" i="6"/>
  <c r="I54" i="5"/>
  <c r="H67" i="5"/>
  <c r="F59" i="5"/>
  <c r="H33" i="4"/>
  <c r="B80" i="4"/>
  <c r="I26" i="4"/>
  <c r="E98" i="3"/>
  <c r="E127" i="3"/>
  <c r="D92" i="3"/>
  <c r="D111" i="3"/>
  <c r="G13" i="3"/>
  <c r="G122" i="3"/>
  <c r="E65" i="3"/>
  <c r="B51" i="5"/>
  <c r="G86" i="4"/>
  <c r="H60" i="4"/>
  <c r="F35" i="4"/>
  <c r="F62" i="3"/>
  <c r="F26" i="3"/>
  <c r="E92" i="3"/>
  <c r="E112" i="3"/>
  <c r="F73" i="3"/>
  <c r="B109" i="3"/>
  <c r="H22" i="3"/>
  <c r="J64" i="3"/>
  <c r="D66" i="2"/>
  <c r="I82" i="2"/>
  <c r="J12" i="2"/>
  <c r="D90" i="2"/>
  <c r="I97" i="2"/>
  <c r="F80" i="2"/>
  <c r="M86" i="2"/>
  <c r="G72" i="2"/>
  <c r="I95" i="2"/>
  <c r="E22" i="2"/>
  <c r="F74" i="2"/>
  <c r="M24" i="2"/>
  <c r="I10" i="2"/>
  <c r="B88" i="5"/>
  <c r="H31" i="5"/>
  <c r="I76" i="4"/>
  <c r="B18" i="4"/>
  <c r="B7" i="4"/>
  <c r="H127" i="3"/>
  <c r="E58" i="3"/>
  <c r="F49" i="3"/>
  <c r="E103" i="3"/>
  <c r="H140" i="3"/>
  <c r="B45" i="3"/>
  <c r="M66" i="2"/>
  <c r="J8" i="3"/>
  <c r="I78" i="4"/>
  <c r="E25" i="7"/>
  <c r="F26" i="4"/>
  <c r="E27" i="3"/>
  <c r="D53" i="2"/>
  <c r="G86" i="2"/>
  <c r="G18" i="5"/>
  <c r="G29" i="4"/>
  <c r="F103" i="3"/>
  <c r="G85" i="3"/>
  <c r="M8" i="2"/>
  <c r="D63" i="2"/>
  <c r="F20" i="8"/>
  <c r="D13" i="6"/>
  <c r="I16" i="5"/>
  <c r="I35" i="4"/>
  <c r="F55" i="3"/>
  <c r="H71" i="4"/>
  <c r="I37" i="3"/>
  <c r="G48" i="2"/>
  <c r="M59" i="2"/>
  <c r="F95" i="4"/>
  <c r="D79" i="4"/>
  <c r="D25" i="6"/>
  <c r="B92" i="5"/>
  <c r="H63" i="3"/>
  <c r="B11" i="7"/>
  <c r="H51" i="5"/>
  <c r="H133" i="3"/>
  <c r="D117" i="3"/>
  <c r="G91" i="2"/>
  <c r="B54" i="2"/>
  <c r="H79" i="4"/>
  <c r="D30" i="3"/>
  <c r="E69" i="2"/>
  <c r="D67" i="2"/>
  <c r="M31" i="2"/>
  <c r="F14" i="3"/>
  <c r="I29" i="2"/>
  <c r="E20" i="4"/>
  <c r="G31" i="3"/>
  <c r="E78" i="6"/>
  <c r="F87" i="4"/>
  <c r="B97" i="2"/>
  <c r="J12" i="7"/>
  <c r="G48" i="5"/>
  <c r="G142" i="3"/>
  <c r="F95" i="3"/>
  <c r="G14" i="2"/>
  <c r="F88" i="2"/>
  <c r="H118" i="3"/>
  <c r="B17" i="3"/>
  <c r="B93" i="2"/>
  <c r="J84" i="2"/>
  <c r="I19" i="3"/>
  <c r="M72" i="2"/>
  <c r="B110" i="3"/>
  <c r="B62" i="2"/>
  <c r="I8" i="6"/>
  <c r="F90" i="4"/>
  <c r="E39" i="3"/>
  <c r="M44" i="2"/>
  <c r="E60" i="3"/>
  <c r="H53" i="2"/>
  <c r="F22" i="2"/>
  <c r="D35" i="2"/>
  <c r="G80" i="2"/>
  <c r="D45" i="2"/>
  <c r="H74" i="3"/>
  <c r="B45" i="7"/>
  <c r="I69" i="2"/>
  <c r="D69" i="5"/>
  <c r="G24" i="3"/>
  <c r="D11" i="2"/>
  <c r="B11" i="3"/>
  <c r="E70" i="2"/>
  <c r="J45" i="2"/>
  <c r="G40" i="2"/>
  <c r="I15" i="5"/>
  <c r="G18" i="2"/>
  <c r="F68" i="4"/>
  <c r="E7" i="3"/>
  <c r="D87" i="4"/>
  <c r="I20" i="4"/>
  <c r="F95" i="2"/>
  <c r="D29" i="5"/>
  <c r="B60" i="4"/>
  <c r="F44" i="3"/>
  <c r="E125" i="3"/>
  <c r="F21" i="3"/>
  <c r="H67" i="2"/>
  <c r="E85" i="3"/>
  <c r="I79" i="3"/>
  <c r="G59" i="2"/>
  <c r="J76" i="2"/>
  <c r="H65" i="2"/>
  <c r="G50" i="5"/>
  <c r="H26" i="2"/>
  <c r="D31" i="2"/>
  <c r="E135" i="3"/>
  <c r="I99" i="3"/>
  <c r="E26" i="2"/>
  <c r="I56" i="2"/>
  <c r="E131" i="3"/>
  <c r="F122" i="3"/>
  <c r="B63" i="5"/>
  <c r="E90" i="3"/>
  <c r="F83" i="2"/>
  <c r="K7" i="7"/>
  <c r="G83" i="5"/>
  <c r="G87" i="4"/>
  <c r="B74" i="2"/>
  <c r="I46" i="2"/>
  <c r="H68" i="3"/>
  <c r="D81" i="3"/>
  <c r="F60" i="2"/>
  <c r="B69" i="5"/>
  <c r="D38" i="2"/>
  <c r="G131" i="3"/>
  <c r="G135" i="3"/>
  <c r="M11" i="2"/>
  <c r="I33" i="6"/>
  <c r="I56" i="4"/>
  <c r="I42" i="3"/>
  <c r="M21" i="2"/>
  <c r="D78" i="5"/>
  <c r="E37" i="4"/>
  <c r="E79" i="2"/>
  <c r="G28" i="4"/>
  <c r="J7" i="3"/>
  <c r="E16" i="2"/>
  <c r="I48" i="2"/>
  <c r="F12" i="2"/>
  <c r="J42" i="3"/>
  <c r="E11" i="3"/>
  <c r="D39" i="2"/>
  <c r="F74" i="6"/>
  <c r="G22" i="4"/>
  <c r="E7" i="2"/>
  <c r="J58" i="2"/>
  <c r="F63" i="2"/>
  <c r="G19" i="2"/>
  <c r="I102" i="3"/>
  <c r="G44" i="2"/>
  <c r="B40" i="4"/>
  <c r="D70" i="4"/>
  <c r="O31" i="2" l="1"/>
  <c r="O48" i="2"/>
  <c r="O14" i="2"/>
  <c r="O91" i="2"/>
  <c r="O19" i="2"/>
  <c r="O66" i="2"/>
  <c r="O21" i="2"/>
  <c r="O38" i="2"/>
  <c r="O47" i="2"/>
  <c r="O68" i="2"/>
  <c r="O17" i="2"/>
  <c r="O53" i="2"/>
  <c r="O24" i="2"/>
  <c r="O44" i="2"/>
  <c r="O36" i="2"/>
  <c r="O59" i="2"/>
  <c r="O75" i="2"/>
  <c r="O18" i="2"/>
  <c r="O77" i="2"/>
  <c r="O86" i="2"/>
  <c r="O55" i="2"/>
  <c r="O84" i="2"/>
  <c r="O41" i="2"/>
  <c r="O70" i="2"/>
  <c r="O20" i="2"/>
  <c r="O83" i="2"/>
  <c r="O74" i="2"/>
  <c r="O90" i="2"/>
  <c r="O60" i="2"/>
  <c r="O11" i="2"/>
  <c r="O12" i="2"/>
  <c r="O62" i="2"/>
  <c r="O25" i="2"/>
  <c r="O97" i="2"/>
  <c r="O58" i="2"/>
  <c r="O22" i="2"/>
  <c r="O63" i="2"/>
  <c r="O8" i="2"/>
  <c r="O79" i="2"/>
  <c r="O64" i="2"/>
  <c r="O65" i="2"/>
  <c r="O26" i="2"/>
  <c r="O73" i="2"/>
  <c r="O88" i="2"/>
  <c r="O23" i="2"/>
  <c r="O51" i="2"/>
  <c r="O29" i="2"/>
  <c r="O54" i="2"/>
  <c r="O94" i="2"/>
  <c r="O49" i="2"/>
  <c r="O50" i="2"/>
  <c r="O33" i="2"/>
  <c r="O37" i="2"/>
  <c r="O9" i="2"/>
  <c r="O40" i="2"/>
  <c r="O43" i="2"/>
  <c r="O61" i="2"/>
  <c r="O93" i="2"/>
  <c r="O80" i="2"/>
  <c r="O72" i="2"/>
  <c r="O27" i="2"/>
  <c r="O46" i="2"/>
  <c r="O10" i="2"/>
  <c r="O16" i="2"/>
  <c r="O56" i="2"/>
  <c r="O71" i="2"/>
  <c r="O76" i="2"/>
  <c r="O92" i="2"/>
  <c r="O28" i="2"/>
  <c r="O89" i="2"/>
  <c r="O78" i="2"/>
  <c r="O81" i="2"/>
  <c r="O82" i="2"/>
  <c r="O96" i="2"/>
  <c r="O35" i="2"/>
  <c r="O45" i="2"/>
  <c r="O52" i="2"/>
  <c r="O39" i="2"/>
  <c r="O32" i="2"/>
  <c r="O30" i="2"/>
  <c r="O87" i="2"/>
  <c r="O95" i="2"/>
  <c r="O42" i="2"/>
  <c r="O67" i="2"/>
  <c r="O15" i="2"/>
  <c r="O69" i="2"/>
  <c r="O57" i="2"/>
  <c r="O13" i="2"/>
  <c r="O85" i="2"/>
  <c r="O34" i="2"/>
  <c r="O7" i="2"/>
  <c r="J16" i="2"/>
  <c r="K10" i="4"/>
  <c r="M10" i="4" s="1"/>
  <c r="K46" i="4"/>
  <c r="M46" i="4" s="1"/>
  <c r="K91" i="4"/>
  <c r="M91" i="4" s="1"/>
  <c r="K87" i="4"/>
  <c r="M87" i="4" s="1"/>
  <c r="K35" i="5"/>
  <c r="M35" i="5" s="1"/>
  <c r="K14" i="4"/>
  <c r="M14" i="4" s="1"/>
  <c r="K32" i="4"/>
  <c r="M32" i="4" s="1"/>
  <c r="K90" i="4"/>
  <c r="M90" i="4" s="1"/>
  <c r="K22" i="4"/>
  <c r="M22" i="4" s="1"/>
  <c r="K84" i="4"/>
  <c r="M84" i="4" s="1"/>
  <c r="K86" i="4"/>
  <c r="M86" i="4" s="1"/>
  <c r="K50" i="5"/>
  <c r="M50" i="5" s="1"/>
  <c r="M16" i="3"/>
  <c r="O16" i="3" s="1"/>
  <c r="M34" i="3"/>
  <c r="O34" i="3" s="1"/>
  <c r="M23" i="3"/>
  <c r="O23" i="3" s="1"/>
  <c r="M24" i="3"/>
  <c r="O24" i="3" s="1"/>
  <c r="M122" i="3"/>
  <c r="O122" i="3" s="1"/>
  <c r="M36" i="3"/>
  <c r="O36" i="3" s="1"/>
  <c r="M80" i="3"/>
  <c r="O80" i="3" s="1"/>
  <c r="M30" i="3"/>
  <c r="O30" i="3" s="1"/>
  <c r="M81" i="3"/>
  <c r="O81" i="3" s="1"/>
  <c r="M140" i="3"/>
  <c r="O140" i="3" s="1"/>
  <c r="M142" i="3"/>
  <c r="O142" i="3" s="1"/>
  <c r="M89" i="3"/>
  <c r="O89" i="3" s="1"/>
  <c r="M13" i="3"/>
  <c r="O13" i="3" s="1"/>
  <c r="M38" i="3"/>
  <c r="O38" i="3" s="1"/>
  <c r="M74" i="3"/>
  <c r="O74" i="3" s="1"/>
  <c r="M32" i="3"/>
  <c r="O32" i="3" s="1"/>
  <c r="K95" i="4"/>
  <c r="M95" i="4" s="1"/>
  <c r="K83" i="4"/>
  <c r="M83" i="4" s="1"/>
  <c r="K31" i="4"/>
  <c r="M31" i="4" s="1"/>
  <c r="K95" i="5"/>
  <c r="M95" i="5" s="1"/>
  <c r="K43" i="5"/>
  <c r="M43" i="5" s="1"/>
  <c r="K48" i="5"/>
  <c r="M48" i="5" s="1"/>
  <c r="K32" i="5"/>
  <c r="M32" i="5" s="1"/>
  <c r="K66" i="5"/>
  <c r="M66" i="5" s="1"/>
  <c r="K89" i="5"/>
  <c r="M89" i="5" s="1"/>
  <c r="K75" i="5"/>
  <c r="M75" i="5" s="1"/>
  <c r="K46" i="5"/>
  <c r="M46" i="5" s="1"/>
  <c r="K17" i="5"/>
  <c r="M17" i="5" s="1"/>
  <c r="K96" i="5"/>
  <c r="M96" i="5" s="1"/>
  <c r="K83" i="5"/>
  <c r="M83" i="5" s="1"/>
  <c r="K30" i="5"/>
  <c r="M30" i="5" s="1"/>
  <c r="K16" i="6"/>
  <c r="M16" i="6" s="1"/>
  <c r="K11" i="5"/>
  <c r="M11" i="5" s="1"/>
  <c r="K38" i="5"/>
  <c r="M38" i="5" s="1"/>
  <c r="K90" i="5"/>
  <c r="M90" i="5" s="1"/>
  <c r="K81" i="6"/>
  <c r="M81" i="6" s="1"/>
  <c r="K41" i="6"/>
  <c r="M41" i="6" s="1"/>
  <c r="K55" i="6"/>
  <c r="M55" i="6" s="1"/>
  <c r="K43" i="6"/>
  <c r="M43" i="6" s="1"/>
  <c r="O32" i="7"/>
  <c r="Q32" i="7" s="1"/>
  <c r="O53" i="8"/>
  <c r="Q53" i="8" s="1"/>
  <c r="O49" i="8"/>
  <c r="Q49" i="8" s="1"/>
  <c r="J14" i="2"/>
  <c r="M19" i="3"/>
  <c r="O19" i="3" s="1"/>
  <c r="M139" i="3"/>
  <c r="O139" i="3" s="1"/>
  <c r="M9" i="3"/>
  <c r="O9" i="3" s="1"/>
  <c r="M7" i="3"/>
  <c r="O7" i="3" s="1"/>
  <c r="M27" i="3"/>
  <c r="O27" i="3" s="1"/>
  <c r="M64" i="3"/>
  <c r="O64" i="3" s="1"/>
  <c r="M28" i="3"/>
  <c r="O28" i="3" s="1"/>
  <c r="M43" i="3"/>
  <c r="O43" i="3" s="1"/>
  <c r="M103" i="3"/>
  <c r="O103" i="3" s="1"/>
  <c r="M55" i="3"/>
  <c r="O55" i="3" s="1"/>
  <c r="M84" i="3"/>
  <c r="O84" i="3" s="1"/>
  <c r="M46" i="3"/>
  <c r="O46" i="3" s="1"/>
  <c r="M120" i="3"/>
  <c r="O120" i="3" s="1"/>
  <c r="M56" i="3"/>
  <c r="O56" i="3" s="1"/>
  <c r="M90" i="3"/>
  <c r="O90" i="3" s="1"/>
  <c r="M134" i="3"/>
  <c r="O134" i="3" s="1"/>
  <c r="M25" i="3"/>
  <c r="O25" i="3" s="1"/>
  <c r="M114" i="3"/>
  <c r="O114" i="3" s="1"/>
  <c r="M105" i="3"/>
  <c r="O105" i="3" s="1"/>
  <c r="M135" i="3"/>
  <c r="O135" i="3" s="1"/>
  <c r="M85" i="3"/>
  <c r="O85" i="3" s="1"/>
  <c r="M58" i="3"/>
  <c r="O58" i="3" s="1"/>
  <c r="M50" i="3"/>
  <c r="O50" i="3" s="1"/>
  <c r="M116" i="3"/>
  <c r="O116" i="3" s="1"/>
  <c r="M107" i="3"/>
  <c r="O107" i="3" s="1"/>
  <c r="M47" i="3"/>
  <c r="O47" i="3" s="1"/>
  <c r="M14" i="3"/>
  <c r="O14" i="3" s="1"/>
  <c r="M60" i="3"/>
  <c r="O60" i="3" s="1"/>
  <c r="M51" i="3"/>
  <c r="O51" i="3" s="1"/>
  <c r="K16" i="4"/>
  <c r="M16" i="4" s="1"/>
  <c r="K15" i="4"/>
  <c r="M15" i="4" s="1"/>
  <c r="K9" i="4"/>
  <c r="M9" i="4" s="1"/>
  <c r="K63" i="5"/>
  <c r="M63" i="5" s="1"/>
  <c r="K9" i="5"/>
  <c r="M9" i="5" s="1"/>
  <c r="K88" i="5"/>
  <c r="M88" i="5" s="1"/>
  <c r="K37" i="5"/>
  <c r="M37" i="5" s="1"/>
  <c r="K60" i="4"/>
  <c r="M60" i="4" s="1"/>
  <c r="K54" i="6"/>
  <c r="M54" i="6" s="1"/>
  <c r="K56" i="6"/>
  <c r="M56" i="6" s="1"/>
  <c r="K58" i="6"/>
  <c r="M58" i="6" s="1"/>
  <c r="K47" i="6"/>
  <c r="M47" i="6" s="1"/>
  <c r="K58" i="4"/>
  <c r="M58" i="4" s="1"/>
  <c r="K37" i="4"/>
  <c r="M37" i="4" s="1"/>
  <c r="K38" i="4"/>
  <c r="M38" i="4" s="1"/>
  <c r="K28" i="4"/>
  <c r="M28" i="4" s="1"/>
  <c r="K29" i="4"/>
  <c r="M29" i="4" s="1"/>
  <c r="K20" i="4"/>
  <c r="M20" i="4" s="1"/>
  <c r="K45" i="4"/>
  <c r="M45" i="4" s="1"/>
  <c r="M65" i="3"/>
  <c r="O65" i="3" s="1"/>
  <c r="M71" i="3"/>
  <c r="O71" i="3" s="1"/>
  <c r="M15" i="3"/>
  <c r="O15" i="3" s="1"/>
  <c r="M127" i="3"/>
  <c r="O127" i="3" s="1"/>
  <c r="M129" i="3"/>
  <c r="O129" i="3" s="1"/>
  <c r="M137" i="3"/>
  <c r="O137" i="3" s="1"/>
  <c r="M87" i="3"/>
  <c r="O87" i="3" s="1"/>
  <c r="M130" i="3"/>
  <c r="O130" i="3" s="1"/>
  <c r="M117" i="3"/>
  <c r="O117" i="3" s="1"/>
  <c r="M131" i="3"/>
  <c r="O131" i="3" s="1"/>
  <c r="M132" i="3"/>
  <c r="O132" i="3" s="1"/>
  <c r="M118" i="3"/>
  <c r="O118" i="3" s="1"/>
  <c r="M98" i="3"/>
  <c r="O98" i="3" s="1"/>
  <c r="K12" i="4"/>
  <c r="M12" i="4" s="1"/>
  <c r="K42" i="4"/>
  <c r="M42" i="4" s="1"/>
  <c r="K88" i="4"/>
  <c r="M88" i="4" s="1"/>
  <c r="K18" i="5"/>
  <c r="M18" i="5" s="1"/>
  <c r="K70" i="5"/>
  <c r="M70" i="5" s="1"/>
  <c r="K73" i="6"/>
  <c r="M73" i="6" s="1"/>
  <c r="O24" i="7"/>
  <c r="Q24" i="7" s="1"/>
  <c r="O48" i="7"/>
  <c r="Q48" i="7" s="1"/>
  <c r="K57" i="6"/>
  <c r="M57" i="6" s="1"/>
  <c r="K68" i="6"/>
  <c r="M68" i="6" s="1"/>
  <c r="K52" i="6"/>
  <c r="M52" i="6" s="1"/>
  <c r="O44" i="7"/>
  <c r="Q44" i="7" s="1"/>
  <c r="O22" i="7"/>
  <c r="Q22" i="7" s="1"/>
  <c r="O45" i="7"/>
  <c r="Q45" i="7" s="1"/>
  <c r="O18" i="8"/>
  <c r="Q18" i="8" s="1"/>
  <c r="O19" i="8"/>
  <c r="Q19" i="8" s="1"/>
  <c r="J15" i="2"/>
  <c r="M11" i="3"/>
  <c r="O11" i="3" s="1"/>
  <c r="M17" i="3"/>
  <c r="O17" i="3" s="1"/>
  <c r="M45" i="3"/>
  <c r="O45" i="3" s="1"/>
  <c r="M12" i="3"/>
  <c r="O12" i="3" s="1"/>
  <c r="M35" i="3"/>
  <c r="O35" i="3" s="1"/>
  <c r="M41" i="3"/>
  <c r="O41" i="3" s="1"/>
  <c r="M119" i="3"/>
  <c r="O119" i="3" s="1"/>
  <c r="M109" i="3"/>
  <c r="O109" i="3" s="1"/>
  <c r="M31" i="3"/>
  <c r="O31" i="3" s="1"/>
  <c r="K7" i="4"/>
  <c r="M7" i="4" s="1"/>
  <c r="K78" i="4"/>
  <c r="M78" i="4" s="1"/>
  <c r="K54" i="4"/>
  <c r="M54" i="4" s="1"/>
  <c r="K55" i="4"/>
  <c r="M55" i="4" s="1"/>
  <c r="K69" i="4"/>
  <c r="M69" i="4" s="1"/>
  <c r="K13" i="4"/>
  <c r="M13" i="4" s="1"/>
  <c r="K18" i="4"/>
  <c r="M18" i="4" s="1"/>
  <c r="K66" i="4"/>
  <c r="M66" i="4" s="1"/>
  <c r="K67" i="4"/>
  <c r="M67" i="4" s="1"/>
  <c r="K21" i="4"/>
  <c r="M21" i="4" s="1"/>
  <c r="K33" i="4"/>
  <c r="M33" i="4" s="1"/>
  <c r="K77" i="4"/>
  <c r="M77" i="4" s="1"/>
  <c r="K23" i="4"/>
  <c r="M23" i="4" s="1"/>
  <c r="K85" i="4"/>
  <c r="M85" i="4" s="1"/>
  <c r="K47" i="4"/>
  <c r="M47" i="4" s="1"/>
  <c r="K48" i="4"/>
  <c r="M48" i="4" s="1"/>
  <c r="M29" i="3"/>
  <c r="O29" i="3" s="1"/>
  <c r="M53" i="3"/>
  <c r="O53" i="3" s="1"/>
  <c r="M123" i="3"/>
  <c r="O123" i="3" s="1"/>
  <c r="M144" i="3"/>
  <c r="O144" i="3" s="1"/>
  <c r="M82" i="3"/>
  <c r="O82" i="3" s="1"/>
  <c r="M54" i="3"/>
  <c r="O54" i="3" s="1"/>
  <c r="M10" i="3"/>
  <c r="O10" i="3" s="1"/>
  <c r="M72" i="3"/>
  <c r="O72" i="3" s="1"/>
  <c r="M67" i="3"/>
  <c r="O67" i="3" s="1"/>
  <c r="M73" i="3"/>
  <c r="O73" i="3" s="1"/>
  <c r="M110" i="3"/>
  <c r="O110" i="3" s="1"/>
  <c r="M75" i="3"/>
  <c r="O75" i="3" s="1"/>
  <c r="M49" i="3"/>
  <c r="O49" i="3" s="1"/>
  <c r="M77" i="3"/>
  <c r="O77" i="3" s="1"/>
  <c r="M33" i="3"/>
  <c r="O33" i="3" s="1"/>
  <c r="K93" i="4"/>
  <c r="M93" i="4" s="1"/>
  <c r="K82" i="4"/>
  <c r="M82" i="4" s="1"/>
  <c r="K44" i="4"/>
  <c r="M44" i="4" s="1"/>
  <c r="K24" i="5"/>
  <c r="M24" i="5" s="1"/>
  <c r="K58" i="5"/>
  <c r="M58" i="5" s="1"/>
  <c r="K76" i="5"/>
  <c r="M76" i="5" s="1"/>
  <c r="K31" i="5"/>
  <c r="M31" i="5" s="1"/>
  <c r="K44" i="5"/>
  <c r="M44" i="5" s="1"/>
  <c r="K72" i="5"/>
  <c r="M72" i="5" s="1"/>
  <c r="K69" i="5"/>
  <c r="M69" i="5" s="1"/>
  <c r="K71" i="5"/>
  <c r="M71" i="5" s="1"/>
  <c r="K93" i="5"/>
  <c r="M93" i="5" s="1"/>
  <c r="K29" i="5"/>
  <c r="M29" i="5" s="1"/>
  <c r="K97" i="5"/>
  <c r="M97" i="5" s="1"/>
  <c r="K47" i="5"/>
  <c r="M47" i="5" s="1"/>
  <c r="K91" i="5"/>
  <c r="M91" i="5" s="1"/>
  <c r="K13" i="6"/>
  <c r="M13" i="6" s="1"/>
  <c r="K86" i="6"/>
  <c r="M86" i="6" s="1"/>
  <c r="K88" i="6"/>
  <c r="M88" i="6" s="1"/>
  <c r="K89" i="6"/>
  <c r="M89" i="6" s="1"/>
  <c r="K20" i="6"/>
  <c r="M20" i="6" s="1"/>
  <c r="K42" i="6"/>
  <c r="M42" i="6" s="1"/>
  <c r="K82" i="6"/>
  <c r="M82" i="6" s="1"/>
  <c r="O42" i="7"/>
  <c r="Q42" i="7" s="1"/>
  <c r="O39" i="7"/>
  <c r="Q39" i="7" s="1"/>
  <c r="O16" i="7"/>
  <c r="Q16" i="7" s="1"/>
  <c r="O48" i="8"/>
  <c r="Q48" i="8" s="1"/>
  <c r="M133" i="3"/>
  <c r="O133" i="3" s="1"/>
  <c r="M83" i="3"/>
  <c r="O83" i="3" s="1"/>
  <c r="M124" i="3"/>
  <c r="O124" i="3" s="1"/>
  <c r="M111" i="3"/>
  <c r="O111" i="3" s="1"/>
  <c r="M125" i="3"/>
  <c r="O125" i="3" s="1"/>
  <c r="M126" i="3"/>
  <c r="O126" i="3" s="1"/>
  <c r="M112" i="3"/>
  <c r="O112" i="3" s="1"/>
  <c r="M91" i="3"/>
  <c r="O91" i="3" s="1"/>
  <c r="M76" i="3"/>
  <c r="O76" i="3" s="1"/>
  <c r="M113" i="3"/>
  <c r="O113" i="3" s="1"/>
  <c r="M57" i="3"/>
  <c r="O57" i="3" s="1"/>
  <c r="M68" i="3"/>
  <c r="O68" i="3" s="1"/>
  <c r="M39" i="3"/>
  <c r="O39" i="3" s="1"/>
  <c r="M104" i="3"/>
  <c r="O104" i="3" s="1"/>
  <c r="M92" i="3"/>
  <c r="O92" i="3" s="1"/>
  <c r="M115" i="3"/>
  <c r="O115" i="3" s="1"/>
  <c r="M86" i="3"/>
  <c r="O86" i="3" s="1"/>
  <c r="K57" i="4"/>
  <c r="M57" i="4" s="1"/>
  <c r="K27" i="4"/>
  <c r="M27" i="4" s="1"/>
  <c r="K36" i="4"/>
  <c r="M36" i="4" s="1"/>
  <c r="K94" i="5"/>
  <c r="M94" i="5" s="1"/>
  <c r="K51" i="5"/>
  <c r="M51" i="5" s="1"/>
  <c r="K8" i="5"/>
  <c r="M8" i="5" s="1"/>
  <c r="K67" i="5"/>
  <c r="M67" i="5" s="1"/>
  <c r="K22" i="5"/>
  <c r="M22" i="5" s="1"/>
  <c r="K26" i="5"/>
  <c r="M26" i="5" s="1"/>
  <c r="K61" i="4"/>
  <c r="M61" i="4" s="1"/>
  <c r="K80" i="4"/>
  <c r="M80" i="4" s="1"/>
  <c r="K65" i="5"/>
  <c r="M65" i="5" s="1"/>
  <c r="K27" i="6"/>
  <c r="M27" i="6" s="1"/>
  <c r="K34" i="6"/>
  <c r="M34" i="6" s="1"/>
  <c r="O30" i="7"/>
  <c r="Q30" i="7" s="1"/>
  <c r="O11" i="8"/>
  <c r="Q11" i="8" s="1"/>
  <c r="K59" i="4"/>
  <c r="M59" i="4" s="1"/>
  <c r="K19" i="4"/>
  <c r="M19" i="4" s="1"/>
  <c r="K39" i="4"/>
  <c r="M39" i="4" s="1"/>
  <c r="K72" i="4"/>
  <c r="M72" i="4" s="1"/>
  <c r="K30" i="4"/>
  <c r="M30" i="4" s="1"/>
  <c r="K63" i="4"/>
  <c r="M63" i="4" s="1"/>
  <c r="K62" i="5"/>
  <c r="M62" i="5" s="1"/>
  <c r="M70" i="3"/>
  <c r="O70" i="3" s="1"/>
  <c r="M141" i="3"/>
  <c r="O141" i="3" s="1"/>
  <c r="M66" i="3"/>
  <c r="O66" i="3" s="1"/>
  <c r="M22" i="3"/>
  <c r="O22" i="3" s="1"/>
  <c r="M93" i="3"/>
  <c r="O93" i="3" s="1"/>
  <c r="M94" i="3"/>
  <c r="O94" i="3" s="1"/>
  <c r="M106" i="3"/>
  <c r="O106" i="3" s="1"/>
  <c r="M95" i="3"/>
  <c r="O95" i="3" s="1"/>
  <c r="M59" i="3"/>
  <c r="O59" i="3" s="1"/>
  <c r="M26" i="3"/>
  <c r="O26" i="3" s="1"/>
  <c r="M18" i="3"/>
  <c r="O18" i="3" s="1"/>
  <c r="M136" i="3"/>
  <c r="O136" i="3" s="1"/>
  <c r="M128" i="3"/>
  <c r="O128" i="3" s="1"/>
  <c r="M96" i="3"/>
  <c r="O96" i="3" s="1"/>
  <c r="M108" i="3"/>
  <c r="O108" i="3" s="1"/>
  <c r="M61" i="3"/>
  <c r="O61" i="3" s="1"/>
  <c r="M88" i="3"/>
  <c r="O88" i="3" s="1"/>
  <c r="M48" i="3"/>
  <c r="O48" i="3" s="1"/>
  <c r="M121" i="3"/>
  <c r="O121" i="3" s="1"/>
  <c r="M62" i="3"/>
  <c r="O62" i="3" s="1"/>
  <c r="M97" i="3"/>
  <c r="O97" i="3" s="1"/>
  <c r="M138" i="3"/>
  <c r="O138" i="3" s="1"/>
  <c r="K8" i="4"/>
  <c r="M8" i="4" s="1"/>
  <c r="K81" i="4"/>
  <c r="M81" i="4" s="1"/>
  <c r="K53" i="6"/>
  <c r="M53" i="6" s="1"/>
  <c r="K26" i="6"/>
  <c r="M26" i="6" s="1"/>
  <c r="K78" i="6"/>
  <c r="M78" i="6" s="1"/>
  <c r="O27" i="7"/>
  <c r="Q27" i="7" s="1"/>
  <c r="O11" i="7"/>
  <c r="Q11" i="7" s="1"/>
  <c r="O14" i="8"/>
  <c r="Q14" i="8" s="1"/>
  <c r="O40" i="8"/>
  <c r="Q40" i="8" s="1"/>
  <c r="K61" i="6"/>
  <c r="M61" i="6" s="1"/>
  <c r="O9" i="7"/>
  <c r="Q9" i="7" s="1"/>
  <c r="K7" i="6"/>
  <c r="M7" i="6" s="1"/>
  <c r="K48" i="6"/>
  <c r="M48" i="6" s="1"/>
  <c r="K38" i="6"/>
  <c r="M38" i="6" s="1"/>
  <c r="O47" i="7"/>
  <c r="Q47" i="7" s="1"/>
  <c r="O8" i="8"/>
  <c r="Q8" i="8" s="1"/>
  <c r="O25" i="7"/>
  <c r="Q25" i="7" s="1"/>
  <c r="O31" i="8"/>
  <c r="Q31" i="8" s="1"/>
  <c r="M20" i="3"/>
  <c r="O20" i="3" s="1"/>
  <c r="M8" i="3"/>
  <c r="O8" i="3" s="1"/>
  <c r="M63" i="3"/>
  <c r="O63" i="3" s="1"/>
  <c r="M21" i="3"/>
  <c r="O21" i="3" s="1"/>
  <c r="M99" i="3"/>
  <c r="O99" i="3" s="1"/>
  <c r="M79" i="3"/>
  <c r="O79" i="3" s="1"/>
  <c r="M143" i="3"/>
  <c r="O143" i="3" s="1"/>
  <c r="M100" i="3"/>
  <c r="O100" i="3" s="1"/>
  <c r="M52" i="3"/>
  <c r="O52" i="3" s="1"/>
  <c r="M40" i="3"/>
  <c r="O40" i="3" s="1"/>
  <c r="M101" i="3"/>
  <c r="O101" i="3" s="1"/>
  <c r="M44" i="3"/>
  <c r="O44" i="3" s="1"/>
  <c r="M102" i="3"/>
  <c r="O102" i="3" s="1"/>
  <c r="M42" i="3"/>
  <c r="O42" i="3" s="1"/>
  <c r="M37" i="3"/>
  <c r="O37" i="3" s="1"/>
  <c r="K17" i="4"/>
  <c r="M17" i="4" s="1"/>
  <c r="K65" i="4"/>
  <c r="M65" i="4" s="1"/>
  <c r="K52" i="5"/>
  <c r="M52" i="5" s="1"/>
  <c r="K21" i="5"/>
  <c r="M21" i="5" s="1"/>
  <c r="K87" i="5"/>
  <c r="M87" i="5" s="1"/>
  <c r="K10" i="5"/>
  <c r="M10" i="5" s="1"/>
  <c r="K79" i="5"/>
  <c r="M79" i="5" s="1"/>
  <c r="K73" i="5"/>
  <c r="M73" i="5" s="1"/>
  <c r="K25" i="5"/>
  <c r="M25" i="5" s="1"/>
  <c r="K68" i="5"/>
  <c r="M68" i="5" s="1"/>
  <c r="K27" i="5"/>
  <c r="M27" i="5" s="1"/>
  <c r="K40" i="4"/>
  <c r="M40" i="4" s="1"/>
  <c r="K73" i="4"/>
  <c r="M73" i="4" s="1"/>
  <c r="K92" i="4"/>
  <c r="M92" i="4" s="1"/>
  <c r="K62" i="4"/>
  <c r="M62" i="4" s="1"/>
  <c r="K74" i="5"/>
  <c r="M74" i="5" s="1"/>
  <c r="K71" i="6"/>
  <c r="M71" i="6" s="1"/>
  <c r="K23" i="5"/>
  <c r="M23" i="5" s="1"/>
  <c r="K66" i="6"/>
  <c r="M66" i="6" s="1"/>
  <c r="K12" i="6"/>
  <c r="M12" i="6" s="1"/>
  <c r="K15" i="6"/>
  <c r="M15" i="6" s="1"/>
  <c r="K67" i="6"/>
  <c r="M67" i="6" s="1"/>
  <c r="O43" i="7"/>
  <c r="Q43" i="7" s="1"/>
  <c r="O21" i="7"/>
  <c r="Q21" i="7" s="1"/>
  <c r="O34" i="7"/>
  <c r="Q34" i="7" s="1"/>
  <c r="O9" i="8"/>
  <c r="Q9" i="8" s="1"/>
  <c r="O38" i="8"/>
  <c r="Q38" i="8" s="1"/>
  <c r="K75" i="4"/>
  <c r="M75" i="4" s="1"/>
  <c r="K76" i="4"/>
  <c r="M76" i="4" s="1"/>
  <c r="K89" i="4"/>
  <c r="M89" i="4" s="1"/>
  <c r="K64" i="4"/>
  <c r="M64" i="4" s="1"/>
  <c r="K49" i="4"/>
  <c r="M49" i="4" s="1"/>
  <c r="K57" i="5"/>
  <c r="M57" i="5" s="1"/>
  <c r="K49" i="5"/>
  <c r="M49" i="5" s="1"/>
  <c r="K98" i="5"/>
  <c r="M98" i="5" s="1"/>
  <c r="K84" i="5"/>
  <c r="M84" i="5" s="1"/>
  <c r="K59" i="5"/>
  <c r="M59" i="5" s="1"/>
  <c r="K33" i="5"/>
  <c r="M33" i="5" s="1"/>
  <c r="K60" i="5"/>
  <c r="M60" i="5" s="1"/>
  <c r="K77" i="5"/>
  <c r="M77" i="5" s="1"/>
  <c r="K99" i="5"/>
  <c r="M99" i="5" s="1"/>
  <c r="K85" i="5"/>
  <c r="M85" i="5" s="1"/>
  <c r="K64" i="5"/>
  <c r="M64" i="5" s="1"/>
  <c r="K11" i="4"/>
  <c r="M11" i="4" s="1"/>
  <c r="K68" i="4"/>
  <c r="M68" i="4" s="1"/>
  <c r="K24" i="4"/>
  <c r="M24" i="4" s="1"/>
  <c r="K70" i="4"/>
  <c r="M70" i="4" s="1"/>
  <c r="K34" i="4"/>
  <c r="M34" i="4" s="1"/>
  <c r="K71" i="4"/>
  <c r="M71" i="4" s="1"/>
  <c r="K56" i="4"/>
  <c r="M56" i="4" s="1"/>
  <c r="K25" i="4"/>
  <c r="M25" i="4" s="1"/>
  <c r="K35" i="4"/>
  <c r="M35" i="4" s="1"/>
  <c r="K79" i="4"/>
  <c r="M79" i="4" s="1"/>
  <c r="K26" i="4"/>
  <c r="M26" i="4" s="1"/>
  <c r="K74" i="4"/>
  <c r="M74" i="4" s="1"/>
  <c r="K41" i="4"/>
  <c r="M41" i="4" s="1"/>
  <c r="K43" i="4"/>
  <c r="M43" i="4" s="1"/>
  <c r="K61" i="5"/>
  <c r="M61" i="5" s="1"/>
  <c r="K36" i="5"/>
  <c r="M36" i="5" s="1"/>
  <c r="K80" i="6"/>
  <c r="M80" i="6" s="1"/>
  <c r="K40" i="6"/>
  <c r="M40" i="6" s="1"/>
  <c r="K49" i="6"/>
  <c r="M49" i="6" s="1"/>
  <c r="O29" i="7"/>
  <c r="Q29" i="7" s="1"/>
  <c r="O7" i="8"/>
  <c r="Q7" i="8" s="1"/>
  <c r="K79" i="6"/>
  <c r="M79" i="6" s="1"/>
  <c r="K28" i="5"/>
  <c r="M28" i="5" s="1"/>
  <c r="K17" i="6"/>
  <c r="M17" i="6" s="1"/>
  <c r="K24" i="6"/>
  <c r="M24" i="6" s="1"/>
  <c r="K62" i="6"/>
  <c r="M62" i="6" s="1"/>
  <c r="O38" i="7"/>
  <c r="Q38" i="7" s="1"/>
  <c r="O32" i="8"/>
  <c r="Q32" i="8" s="1"/>
  <c r="O42" i="8"/>
  <c r="Q42" i="8" s="1"/>
  <c r="O10" i="8"/>
  <c r="Q10" i="8" s="1"/>
  <c r="K12" i="5"/>
  <c r="M12" i="5" s="1"/>
  <c r="K13" i="5"/>
  <c r="M13" i="5" s="1"/>
  <c r="K14" i="5"/>
  <c r="M14" i="5" s="1"/>
  <c r="K86" i="5"/>
  <c r="M86" i="5" s="1"/>
  <c r="K78" i="5"/>
  <c r="M78" i="5" s="1"/>
  <c r="K34" i="5"/>
  <c r="M34" i="5" s="1"/>
  <c r="K39" i="5"/>
  <c r="M39" i="5" s="1"/>
  <c r="K45" i="5"/>
  <c r="M45" i="5" s="1"/>
  <c r="K15" i="5"/>
  <c r="M15" i="5" s="1"/>
  <c r="K40" i="5"/>
  <c r="M40" i="5" s="1"/>
  <c r="K16" i="5"/>
  <c r="M16" i="5" s="1"/>
  <c r="K56" i="5"/>
  <c r="M56" i="5" s="1"/>
  <c r="K54" i="5"/>
  <c r="M54" i="5" s="1"/>
  <c r="K80" i="5"/>
  <c r="M80" i="5" s="1"/>
  <c r="K81" i="5"/>
  <c r="M81" i="5" s="1"/>
  <c r="K82" i="5"/>
  <c r="M82" i="5" s="1"/>
  <c r="K19" i="5"/>
  <c r="M19" i="5" s="1"/>
  <c r="K41" i="5"/>
  <c r="M41" i="5" s="1"/>
  <c r="K100" i="5"/>
  <c r="M100" i="5" s="1"/>
  <c r="K42" i="5"/>
  <c r="M42" i="5" s="1"/>
  <c r="K37" i="6"/>
  <c r="M37" i="6" s="1"/>
  <c r="O49" i="7"/>
  <c r="Q49" i="7" s="1"/>
  <c r="K92" i="5"/>
  <c r="M92" i="5" s="1"/>
  <c r="K11" i="6"/>
  <c r="M11" i="6" s="1"/>
  <c r="K74" i="6"/>
  <c r="M74" i="6" s="1"/>
  <c r="K59" i="6"/>
  <c r="M59" i="6" s="1"/>
  <c r="O36" i="7"/>
  <c r="Q36" i="7" s="1"/>
  <c r="O10" i="7"/>
  <c r="Q10" i="7" s="1"/>
  <c r="O23" i="7"/>
  <c r="Q23" i="7" s="1"/>
  <c r="O41" i="7"/>
  <c r="Q41" i="7" s="1"/>
  <c r="O30" i="8"/>
  <c r="Q30" i="8" s="1"/>
  <c r="O12" i="8"/>
  <c r="Q12" i="8" s="1"/>
  <c r="K33" i="6"/>
  <c r="M33" i="6" s="1"/>
  <c r="K18" i="6"/>
  <c r="M18" i="6" s="1"/>
  <c r="K91" i="6"/>
  <c r="M91" i="6" s="1"/>
  <c r="K45" i="6"/>
  <c r="M45" i="6" s="1"/>
  <c r="K19" i="6"/>
  <c r="M19" i="6" s="1"/>
  <c r="K76" i="6"/>
  <c r="M76" i="6" s="1"/>
  <c r="K77" i="6"/>
  <c r="M77" i="6" s="1"/>
  <c r="K87" i="6"/>
  <c r="M87" i="6" s="1"/>
  <c r="K53" i="5"/>
  <c r="M53" i="5" s="1"/>
  <c r="K83" i="6"/>
  <c r="M83" i="6" s="1"/>
  <c r="K90" i="6"/>
  <c r="M90" i="6" s="1"/>
  <c r="K28" i="6"/>
  <c r="M28" i="6" s="1"/>
  <c r="K84" i="6"/>
  <c r="M84" i="6" s="1"/>
  <c r="K75" i="6"/>
  <c r="M75" i="6" s="1"/>
  <c r="K85" i="6"/>
  <c r="M85" i="6" s="1"/>
  <c r="K35" i="6"/>
  <c r="M35" i="6" s="1"/>
  <c r="K29" i="6"/>
  <c r="M29" i="6" s="1"/>
  <c r="K36" i="6"/>
  <c r="M36" i="6" s="1"/>
  <c r="K30" i="6"/>
  <c r="M30" i="6" s="1"/>
  <c r="K44" i="6"/>
  <c r="M44" i="6" s="1"/>
  <c r="K69" i="6"/>
  <c r="M69" i="6" s="1"/>
  <c r="K21" i="6"/>
  <c r="M21" i="6" s="1"/>
  <c r="K8" i="6"/>
  <c r="M8" i="6" s="1"/>
  <c r="K10" i="6"/>
  <c r="M10" i="6" s="1"/>
  <c r="K9" i="6"/>
  <c r="M9" i="6" s="1"/>
  <c r="K22" i="6"/>
  <c r="M22" i="6" s="1"/>
  <c r="K23" i="6"/>
  <c r="M23" i="6" s="1"/>
  <c r="K31" i="6"/>
  <c r="M31" i="6" s="1"/>
  <c r="K70" i="6"/>
  <c r="M70" i="6" s="1"/>
  <c r="K60" i="6"/>
  <c r="M60" i="6" s="1"/>
  <c r="K50" i="6"/>
  <c r="M50" i="6" s="1"/>
  <c r="K51" i="6"/>
  <c r="M51" i="6" s="1"/>
  <c r="K72" i="6"/>
  <c r="M72" i="6" s="1"/>
  <c r="K25" i="6"/>
  <c r="M25" i="6" s="1"/>
  <c r="K14" i="6"/>
  <c r="M14" i="6" s="1"/>
  <c r="K39" i="6"/>
  <c r="M39" i="6" s="1"/>
  <c r="O19" i="7"/>
  <c r="Q19" i="7" s="1"/>
  <c r="O26" i="7"/>
  <c r="Q26" i="7" s="1"/>
  <c r="O31" i="7"/>
  <c r="Q31" i="7" s="1"/>
  <c r="O13" i="7"/>
  <c r="Q13" i="7" s="1"/>
  <c r="O28" i="7"/>
  <c r="Q28" i="7" s="1"/>
  <c r="O25" i="8"/>
  <c r="Q25" i="8" s="1"/>
  <c r="O17" i="8"/>
  <c r="Q17" i="8" s="1"/>
  <c r="O41" i="8"/>
  <c r="Q41" i="8" s="1"/>
  <c r="O50" i="8"/>
  <c r="Q50" i="8" s="1"/>
  <c r="O33" i="7"/>
  <c r="Q33" i="7" s="1"/>
  <c r="O46" i="8"/>
  <c r="Q46" i="8" s="1"/>
  <c r="O35" i="7"/>
  <c r="Q35" i="7" s="1"/>
  <c r="O26" i="8"/>
  <c r="Q26" i="8" s="1"/>
  <c r="O27" i="8"/>
  <c r="Q27" i="8" s="1"/>
  <c r="O37" i="8"/>
  <c r="Q37" i="8" s="1"/>
  <c r="O22" i="8"/>
  <c r="Q22" i="8" s="1"/>
  <c r="O39" i="8"/>
  <c r="Q39" i="8" s="1"/>
  <c r="O21" i="8"/>
  <c r="Q21" i="8" s="1"/>
  <c r="O40" i="7"/>
  <c r="Q40" i="7" s="1"/>
  <c r="O14" i="7"/>
  <c r="Q14" i="7" s="1"/>
  <c r="O37" i="7"/>
  <c r="Q37" i="7" s="1"/>
  <c r="O15" i="7"/>
  <c r="Q15" i="7" s="1"/>
  <c r="O20" i="7"/>
  <c r="Q20" i="7" s="1"/>
  <c r="O12" i="7"/>
  <c r="Q12" i="7" s="1"/>
  <c r="O8" i="7"/>
  <c r="Q8" i="7" s="1"/>
  <c r="O24" i="8"/>
  <c r="Q24" i="8" s="1"/>
  <c r="O7" i="7"/>
  <c r="Q7" i="7" s="1"/>
  <c r="O34" i="8"/>
  <c r="Q34" i="8" s="1"/>
  <c r="O43" i="8"/>
  <c r="Q43" i="8" s="1"/>
  <c r="O52" i="8"/>
  <c r="Q52" i="8" s="1"/>
  <c r="O15" i="8"/>
  <c r="Q15" i="8" s="1"/>
  <c r="O16" i="8"/>
  <c r="Q16" i="8" s="1"/>
  <c r="O17" i="7"/>
  <c r="Q17" i="7" s="1"/>
  <c r="O20" i="8"/>
  <c r="Q20" i="8" s="1"/>
  <c r="O51" i="8"/>
  <c r="Q51" i="8" s="1"/>
  <c r="O18" i="7"/>
  <c r="Q18" i="7" s="1"/>
  <c r="O46" i="7"/>
  <c r="Q46" i="7" s="1"/>
  <c r="O35" i="8"/>
  <c r="Q35" i="8" s="1"/>
  <c r="O13" i="8"/>
  <c r="Q13" i="8" s="1"/>
  <c r="O28" i="8"/>
  <c r="Q28" i="8" s="1"/>
  <c r="O36" i="8"/>
  <c r="Q36" i="8" s="1"/>
  <c r="O29" i="8"/>
  <c r="Q29" i="8" s="1"/>
  <c r="O54" i="8"/>
  <c r="Q54" i="8" s="1"/>
  <c r="O44" i="8"/>
  <c r="Q44" i="8" s="1"/>
  <c r="O47" i="8"/>
  <c r="Q47" i="8" s="1"/>
  <c r="O33" i="8"/>
  <c r="Q33" i="8" s="1"/>
  <c r="O45" i="8"/>
  <c r="Q45" i="8" s="1"/>
</calcChain>
</file>

<file path=xl/sharedStrings.xml><?xml version="1.0" encoding="utf-8"?>
<sst xmlns="http://schemas.openxmlformats.org/spreadsheetml/2006/main" count="2332" uniqueCount="140">
  <si>
    <t>№ п/п</t>
  </si>
  <si>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</si>
  <si>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</si>
  <si>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</si>
  <si>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</si>
  <si>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</si>
  <si>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Практический тур</t>
  </si>
  <si>
    <t>Сумма баллов</t>
  </si>
  <si>
    <t>Апелляция</t>
  </si>
  <si>
    <t>Итого</t>
  </si>
  <si>
    <t>Рейтинг</t>
  </si>
  <si>
    <t>Статус</t>
  </si>
  <si>
    <t xml:space="preserve">Сумма баллов </t>
  </si>
  <si>
    <t>Морозова Ирина Романовна</t>
  </si>
  <si>
    <t>МОУ "СОШ им. Ю.А. Гагарина "</t>
  </si>
  <si>
    <t>Мищенко Ирина Николаевна</t>
  </si>
  <si>
    <t>Сумма баллов (83)</t>
  </si>
  <si>
    <t>МОУ "СОШ №2"</t>
  </si>
  <si>
    <t>МОУ "СОШ №3"</t>
  </si>
  <si>
    <t>МОУ "СОШ №7"</t>
  </si>
  <si>
    <t>МОУ "СОШ №12"</t>
  </si>
  <si>
    <t>МОУ "СОШ №16"</t>
  </si>
  <si>
    <t>МОУ "СОШ №18"</t>
  </si>
  <si>
    <t>МОУ "СОШ №20"</t>
  </si>
  <si>
    <t>МОУ "СОШ №21"</t>
  </si>
  <si>
    <t>МОУ "ООШ №26"</t>
  </si>
  <si>
    <t>МОУ "СОШ №29"</t>
  </si>
  <si>
    <t>МОУ "СОШ №30"</t>
  </si>
  <si>
    <t>МОУ "СОШ №32"</t>
  </si>
  <si>
    <t>МОУ "СОШ №42"</t>
  </si>
  <si>
    <t>МОУ "СОШ п. Бурный"</t>
  </si>
  <si>
    <t>МОУ "ООШ с. Безымянное"</t>
  </si>
  <si>
    <t>МОУ "ООШ п. Взлетный"</t>
  </si>
  <si>
    <t>МОУ "СОШ с. Воскресенка"</t>
  </si>
  <si>
    <t>МОУ "СОШ с. Генеральское"</t>
  </si>
  <si>
    <t>МОУ "СОШ с. Заветное"</t>
  </si>
  <si>
    <t>МОУ "СОШ с. Красный Яр"</t>
  </si>
  <si>
    <t>МОУ "СОШ с. Квасниковка"</t>
  </si>
  <si>
    <t>МОУ "СОШ с. Кирово"</t>
  </si>
  <si>
    <t>МОУ "СОШ п. Коминтерн"</t>
  </si>
  <si>
    <t>МОУ "ООШ п. Лощинный"</t>
  </si>
  <si>
    <t>МОУ "СОШ с. Липовка"</t>
  </si>
  <si>
    <t>МОУ "ООШ с. Подстепное"</t>
  </si>
  <si>
    <t>МОУ "СОШ п. Пробуждение"</t>
  </si>
  <si>
    <t>8 класс</t>
  </si>
  <si>
    <t>МОУ "СОШ с. Терновка"</t>
  </si>
  <si>
    <t>МОУ "СОШ с. Узморье"</t>
  </si>
  <si>
    <t>МОУ "СОШ с. Широкополье"</t>
  </si>
  <si>
    <t>1 (10б)</t>
  </si>
  <si>
    <t>2 (10б)</t>
  </si>
  <si>
    <t>3 (10б)</t>
  </si>
  <si>
    <t>4 (16 б)</t>
  </si>
  <si>
    <t>46 б</t>
  </si>
  <si>
    <t>20.10.2021 года</t>
  </si>
  <si>
    <t>50% -23 б</t>
  </si>
  <si>
    <t>91 участник</t>
  </si>
  <si>
    <t>1 (5б)</t>
  </si>
  <si>
    <t>2 (14 б.)</t>
  </si>
  <si>
    <t>3 (5 б)</t>
  </si>
  <si>
    <t>50% - 12</t>
  </si>
  <si>
    <t>75% - 18</t>
  </si>
  <si>
    <t>89 участников</t>
  </si>
  <si>
    <t>1 (10 б)</t>
  </si>
  <si>
    <t>2 (20б)</t>
  </si>
  <si>
    <t>3 (5б)</t>
  </si>
  <si>
    <t>35 баллов</t>
  </si>
  <si>
    <t>50% - 17,5 %</t>
  </si>
  <si>
    <t>75% - 26,25</t>
  </si>
  <si>
    <t>94 участника</t>
  </si>
  <si>
    <t>1(10 б)</t>
  </si>
  <si>
    <t>2 (17 б)</t>
  </si>
  <si>
    <t>3 (7 б)</t>
  </si>
  <si>
    <t xml:space="preserve">34 балла </t>
  </si>
  <si>
    <t>50% - 17 б</t>
  </si>
  <si>
    <t>75% - 25,5%</t>
  </si>
  <si>
    <t>85 участников</t>
  </si>
  <si>
    <t>2 (8б)</t>
  </si>
  <si>
    <t>3(9б)</t>
  </si>
  <si>
    <t>4 (4б)</t>
  </si>
  <si>
    <t>3 (3б)</t>
  </si>
  <si>
    <t>43 участника</t>
  </si>
  <si>
    <t>48 участников</t>
  </si>
  <si>
    <t>победитель</t>
  </si>
  <si>
    <t>призер</t>
  </si>
  <si>
    <t>5% - 2,4</t>
  </si>
  <si>
    <t xml:space="preserve">10% -4,8 </t>
  </si>
  <si>
    <t>5%- 2,15</t>
  </si>
  <si>
    <t>10 % -4,3</t>
  </si>
  <si>
    <t>участник</t>
  </si>
  <si>
    <t>5% -4,25</t>
  </si>
  <si>
    <t>10%- 8,5</t>
  </si>
  <si>
    <t>5% - 4,7</t>
  </si>
  <si>
    <t>10%- 9,4</t>
  </si>
  <si>
    <t xml:space="preserve">участник </t>
  </si>
  <si>
    <t>5%- 4,45</t>
  </si>
  <si>
    <t xml:space="preserve">10% -8,9 </t>
  </si>
  <si>
    <t xml:space="preserve">победитель </t>
  </si>
  <si>
    <t>5%- 6,85</t>
  </si>
  <si>
    <t>10%-13,7</t>
  </si>
  <si>
    <t>5% - 4,55</t>
  </si>
  <si>
    <t>10%- 9,1</t>
  </si>
  <si>
    <t>ПРОТОКОЛ</t>
  </si>
  <si>
    <t>школьного этапа Всероссийской олимпиады школьников по экологии 2021-2022 учебный год</t>
  </si>
  <si>
    <t>6 класс</t>
  </si>
  <si>
    <t>10 класс</t>
  </si>
  <si>
    <t>11 класс</t>
  </si>
  <si>
    <t>5 класс</t>
  </si>
  <si>
    <t>7 класс</t>
  </si>
  <si>
    <t>9 класс</t>
  </si>
  <si>
    <t>участник муниципального этапа</t>
  </si>
  <si>
    <t xml:space="preserve">5 класс экология </t>
  </si>
  <si>
    <t>75 %- 35,5 б</t>
  </si>
  <si>
    <t>победителей - 9</t>
  </si>
  <si>
    <t>призеров-62</t>
  </si>
  <si>
    <t>138 участников</t>
  </si>
  <si>
    <t>победителей</t>
  </si>
  <si>
    <t>призеров</t>
  </si>
  <si>
    <t>победителей - 61</t>
  </si>
  <si>
    <t>призеров - 27</t>
  </si>
  <si>
    <t>победителей - 41</t>
  </si>
  <si>
    <t>призеров - 50</t>
  </si>
  <si>
    <t>победителей 13</t>
  </si>
  <si>
    <t>призеров - 68</t>
  </si>
  <si>
    <t>26 участников муниципального этапа</t>
  </si>
  <si>
    <t>24 балла и выше - МЭ</t>
  </si>
  <si>
    <t>24 участника муниципального этапа</t>
  </si>
  <si>
    <t>29 баллов и выше -МЭ</t>
  </si>
  <si>
    <t>27 участников муниципального этапа</t>
  </si>
  <si>
    <t>20 баллов и выше - МЭ</t>
  </si>
  <si>
    <t>22 участника муниципального этапа</t>
  </si>
  <si>
    <t>22 балла и выше - МЭ</t>
  </si>
  <si>
    <t>победителей -8</t>
  </si>
  <si>
    <t>призеров - 32</t>
  </si>
  <si>
    <t>победителей - 10</t>
  </si>
  <si>
    <t xml:space="preserve">11 класс экология </t>
  </si>
  <si>
    <t xml:space="preserve">10 класс экология </t>
  </si>
  <si>
    <t xml:space="preserve">9 класс экология </t>
  </si>
  <si>
    <t>8 класс экология</t>
  </si>
  <si>
    <t xml:space="preserve">7 класс экология </t>
  </si>
  <si>
    <t xml:space="preserve">6 класс экология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</si>
</sst>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  <family val="2"/>
      <charset val="204"/>
      <scheme val="major"/>
    </font>
    <font>
      <sz val="10"/>
      <name val="Arial"/>
      <family val="2"/>
      <charset val="204"/>
      <scheme val="major"/>
    </font>
    <font>
      <sz val="10"/>
      <color rgb="FF000000"/>
      <name val="Arial"/>
      <family val="2"/>
      <charset val="204"/>
      <scheme val="major"/>
    </font>
    <font>
      <sz val="14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8"/>
      <color theme="1"/>
      <name val="Arial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/>
    <xf numFmtId="0" fontId="1" fillId="2" borderId="0" xfId="0" applyFont="1" applyFill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6" fillId="0" borderId="1" xfId="0" applyFont="1" applyFill="1" applyBorder="1"/>
    <xf numFmtId="0" fontId="6" fillId="0" borderId="0" xfId="0" applyFont="1" applyFill="1"/>
    <xf numFmtId="0" fontId="0" fillId="0" borderId="0" xfId="0" applyFont="1" applyFill="1" applyAlignment="1"/>
    <xf numFmtId="0" fontId="7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/>
    </xf>
    <xf numFmtId="0" fontId="11" fillId="0" borderId="1" xfId="0" applyFont="1" applyFill="1" applyBorder="1"/>
    <xf numFmtId="0" fontId="1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4" fillId="0" borderId="4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12" fillId="0" borderId="0" xfId="0" applyFont="1" applyAlignment="1"/>
    <xf numFmtId="0" fontId="8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4" fillId="0" borderId="7" xfId="0" applyFont="1" applyFill="1" applyBorder="1" applyAlignment="1">
      <alignment vertical="top"/>
    </xf>
    <xf numFmtId="0" fontId="14" fillId="0" borderId="7" xfId="0" applyFont="1" applyFill="1" applyBorder="1"/>
    <xf numFmtId="0" fontId="16" fillId="0" borderId="7" xfId="0" applyFont="1" applyFill="1" applyBorder="1" applyAlignment="1">
      <alignment vertical="top"/>
    </xf>
    <xf numFmtId="0" fontId="15" fillId="0" borderId="7" xfId="0" applyFont="1" applyFill="1" applyBorder="1"/>
    <xf numFmtId="0" fontId="17" fillId="0" borderId="7" xfId="0" applyFont="1" applyFill="1" applyBorder="1" applyAlignment="1">
      <alignment vertical="top"/>
    </xf>
    <xf numFmtId="0" fontId="17" fillId="0" borderId="7" xfId="0" applyFont="1" applyFill="1" applyBorder="1"/>
    <xf numFmtId="0" fontId="1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left" vertical="top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7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left" vertical="top"/>
    </xf>
    <xf numFmtId="0" fontId="15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 vertical="top"/>
    </xf>
    <xf numFmtId="0" fontId="12" fillId="0" borderId="0" xfId="0" applyFont="1" applyFill="1" applyAlignment="1"/>
    <xf numFmtId="0" fontId="4" fillId="0" borderId="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0" fillId="0" borderId="11" xfId="0" applyFont="1" applyBorder="1" applyAlignment="1"/>
    <xf numFmtId="0" fontId="8" fillId="2" borderId="6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/>
    </xf>
    <xf numFmtId="0" fontId="0" fillId="0" borderId="0" xfId="0" applyAlignment="1"/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3" borderId="7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vertical="top"/>
    </xf>
    <xf numFmtId="0" fontId="10" fillId="0" borderId="15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8" fillId="3" borderId="7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9"/>
  <sheetViews>
    <sheetView tabSelected="1" topLeftCell="E4" workbookViewId="0">
      <selection activeCell="R5" sqref="R5"/>
    </sheetView>
  </sheetViews>
  <sheetFormatPr defaultColWidth="14.42578125" defaultRowHeight="15.75" customHeight="1" x14ac:dyDescent="0.2"/>
  <cols>
    <col min="1" max="1" width="7" customWidth="1"/>
    <col min="2" max="2" width="37.28515625" customWidth="1"/>
    <col min="3" max="3" width="13.5703125" customWidth="1"/>
    <col min="4" max="4" width="35.28515625" customWidth="1"/>
    <col min="5" max="5" width="7.7109375" customWidth="1"/>
    <col min="6" max="6" width="33" customWidth="1"/>
    <col min="7" max="10" width="10.85546875" style="32" customWidth="1"/>
    <col min="11" max="12" width="10.85546875" style="32" hidden="1" customWidth="1"/>
    <col min="13" max="13" width="14.42578125" style="32"/>
    <col min="15" max="16" width="14.42578125" style="32"/>
    <col min="18" max="18" width="23.28515625" customWidth="1"/>
  </cols>
  <sheetData>
    <row r="1" spans="1:18" ht="15.75" customHeight="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8" ht="15.75" customHeight="1" x14ac:dyDescent="0.25">
      <c r="A2" s="108" t="s">
        <v>101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8" ht="15.75" customHeight="1" x14ac:dyDescent="0.25">
      <c r="A3" s="108" t="s">
        <v>102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8" ht="15.75" customHeight="1" x14ac:dyDescent="0.25">
      <c r="A4" s="108" t="s">
        <v>106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8" ht="25.5" customHeight="1" x14ac:dyDescent="0.2">
      <c r="A5" s="109" t="s">
        <v>0</v>
      </c>
      <c r="B5" s="109" t="s">
        <v>1</v>
      </c>
      <c r="C5" s="109" t="s">
        <v>2</v>
      </c>
      <c r="D5" s="109" t="s">
        <v>3</v>
      </c>
      <c r="E5" s="109" t="s">
        <v>4</v>
      </c>
      <c r="F5" s="109" t="s">
        <v>5</v>
      </c>
      <c r="G5" s="109" t="s">
        <v>6</v>
      </c>
      <c r="H5" s="110"/>
      <c r="I5" s="110"/>
      <c r="J5" s="110"/>
      <c r="K5" s="85"/>
      <c r="L5" s="85"/>
      <c r="M5" s="23" t="s">
        <v>7</v>
      </c>
      <c r="N5" s="23" t="s">
        <v>8</v>
      </c>
      <c r="O5" s="23" t="s">
        <v>9</v>
      </c>
      <c r="P5" s="23" t="s">
        <v>10</v>
      </c>
      <c r="Q5" s="23" t="s">
        <v>11</v>
      </c>
      <c r="R5" s="107" t="s">
        <v>110</v>
      </c>
    </row>
    <row r="6" spans="1:18" ht="12.75" x14ac:dyDescent="0.2">
      <c r="A6" s="109"/>
      <c r="B6" s="109"/>
      <c r="C6" s="109"/>
      <c r="D6" s="109"/>
      <c r="E6" s="109"/>
      <c r="F6" s="109"/>
      <c r="G6" s="23" t="s">
        <v>48</v>
      </c>
      <c r="H6" s="23" t="s">
        <v>49</v>
      </c>
      <c r="I6" s="23" t="s">
        <v>50</v>
      </c>
      <c r="J6" s="23" t="s">
        <v>51</v>
      </c>
      <c r="K6" s="23"/>
      <c r="L6" s="23"/>
      <c r="M6" s="23" t="s">
        <v>52</v>
      </c>
      <c r="N6" s="23"/>
      <c r="O6" s="23"/>
      <c r="P6" s="23"/>
      <c r="Q6" s="23"/>
      <c r="R6" s="30" t="s">
        <v>54</v>
      </c>
    </row>
    <row r="7" spans="1:18" ht="12.75" x14ac:dyDescent="0.2">
      <c r="A7" s="12">
        <v>1</v>
      </c>
      <c r="B7" s="18" t="str">
        <f ca="1">IFERROR(__xludf.DUMMYFUNCTION("IMPORTRANGE(""https://docs.google.com/spreadsheets/d/16CWr8ky6L0i1S4UOLMYHizeHS6aZnIDEnQPyRJyTpcI/edit#gid=0"", ""СОШ с. Зеленый Дол!B3:O7"")"),"Климова Екатерина Арсеньевна")</f>
        <v>Климова Екатерина Арсеньевна</v>
      </c>
      <c r="C7" s="13"/>
      <c r="D7" s="24" t="str">
        <f ca="1">IFERROR(__xludf.DUMMYFUNCTION("""COMPUTED_VALUE"""),"МОУ ""СОШ с. Зеленый Дол""")</f>
        <v>МОУ "СОШ с. Зеленый Дол"</v>
      </c>
      <c r="E7" s="13">
        <f ca="1">IFERROR(__xludf.DUMMYFUNCTION("""COMPUTED_VALUE"""),5)</f>
        <v>5</v>
      </c>
      <c r="F7" s="13" t="str">
        <f ca="1">IFERROR(__xludf.DUMMYFUNCTION("""COMPUTED_VALUE"""),"Абдулина Нуржамал Кайруевна")</f>
        <v>Абдулина Нуржамал Кайруевна</v>
      </c>
      <c r="G7" s="91">
        <f ca="1">IFERROR(__xludf.DUMMYFUNCTION("""COMPUTED_VALUE"""),8)</f>
        <v>8</v>
      </c>
      <c r="H7" s="91">
        <f ca="1">IFERROR(__xludf.DUMMYFUNCTION("""COMPUTED_VALUE"""),10)</f>
        <v>10</v>
      </c>
      <c r="I7" s="91">
        <f ca="1">IFERROR(__xludf.DUMMYFUNCTION("""COMPUTED_VALUE"""),9)</f>
        <v>9</v>
      </c>
      <c r="J7" s="91">
        <f ca="1">IFERROR(__xludf.DUMMYFUNCTION("""COMPUTED_VALUE"""),15)</f>
        <v>15</v>
      </c>
      <c r="K7" s="91"/>
      <c r="L7" s="91"/>
      <c r="M7" s="91">
        <f ca="1">IFERROR(__xludf.DUMMYFUNCTION("""COMPUTED_VALUE"""),42)</f>
        <v>42</v>
      </c>
      <c r="N7" s="14"/>
      <c r="O7" s="91">
        <f ca="1">M7</f>
        <v>42</v>
      </c>
      <c r="P7" s="91">
        <v>1</v>
      </c>
      <c r="Q7" s="91" t="s">
        <v>82</v>
      </c>
      <c r="R7" s="30" t="s">
        <v>111</v>
      </c>
    </row>
    <row r="8" spans="1:18" ht="12.75" x14ac:dyDescent="0.2">
      <c r="A8" s="12">
        <v>2</v>
      </c>
      <c r="B8" s="13" t="str">
        <f ca="1">IFERROR(__xludf.DUMMYFUNCTION("""COMPUTED_VALUE"""),"Димитриева Виктория Сергеевна")</f>
        <v>Димитриева Виктория Сергеевна</v>
      </c>
      <c r="C8" s="13"/>
      <c r="D8" s="24" t="str">
        <f ca="1">IFERROR(__xludf.DUMMYFUNCTION("""COMPUTED_VALUE"""),"МОУ ""СОШ с. Березовка""")</f>
        <v>МОУ "СОШ с. Березовка"</v>
      </c>
      <c r="E8" s="13">
        <f ca="1">IFERROR(__xludf.DUMMYFUNCTION("""COMPUTED_VALUE"""),5)</f>
        <v>5</v>
      </c>
      <c r="F8" s="13" t="str">
        <f ca="1">IFERROR(__xludf.DUMMYFUNCTION("""COMPUTED_VALUE"""),"Турсумбек Нагима Айгалиевна ")</f>
        <v xml:space="preserve">Турсумбек Нагима Айгалиевна </v>
      </c>
      <c r="G8" s="91">
        <f ca="1">IFERROR(__xludf.DUMMYFUNCTION("""COMPUTED_VALUE"""),8)</f>
        <v>8</v>
      </c>
      <c r="H8" s="91">
        <f ca="1">IFERROR(__xludf.DUMMYFUNCTION("""COMPUTED_VALUE"""),10)</f>
        <v>10</v>
      </c>
      <c r="I8" s="91">
        <f ca="1">IFERROR(__xludf.DUMMYFUNCTION("""COMPUTED_VALUE"""),8)</f>
        <v>8</v>
      </c>
      <c r="J8" s="91">
        <f ca="1">IFERROR(__xludf.DUMMYFUNCTION("""COMPUTED_VALUE"""),15)</f>
        <v>15</v>
      </c>
      <c r="K8" s="91"/>
      <c r="L8" s="91"/>
      <c r="M8" s="91">
        <f ca="1">IFERROR(__xludf.DUMMYFUNCTION("""COMPUTED_VALUE"""),41)</f>
        <v>41</v>
      </c>
      <c r="N8" s="14"/>
      <c r="O8" s="91">
        <f t="shared" ref="O8:O71" ca="1" si="0">M8</f>
        <v>41</v>
      </c>
      <c r="P8" s="91">
        <v>2</v>
      </c>
      <c r="Q8" s="91" t="s">
        <v>82</v>
      </c>
      <c r="R8" s="30" t="s">
        <v>55</v>
      </c>
    </row>
    <row r="9" spans="1:18" ht="12.75" x14ac:dyDescent="0.2">
      <c r="A9" s="12">
        <v>3</v>
      </c>
      <c r="B9" s="15" t="str">
        <f ca="1">IFERROR(__xludf.DUMMYFUNCTION("IMPORTRANGE(""https://docs.google.com/spreadsheets/d/16CWr8ky6L0i1S4UOLMYHizeHS6aZnIDEnQPyRJyTpcI/edit#gid=0"", ""СОШ №33!B3:O7"")"),"Кудрина Елизавета Андреевна")</f>
        <v>Кудрина Елизавета Андреевна</v>
      </c>
      <c r="C9" s="15"/>
      <c r="D9" s="25" t="str">
        <f ca="1">IFERROR(__xludf.DUMMYFUNCTION("""COMPUTED_VALUE"""),"МОУ ""СОШ №33""")</f>
        <v>МОУ "СОШ №33"</v>
      </c>
      <c r="E9" s="15">
        <f ca="1">IFERROR(__xludf.DUMMYFUNCTION("""COMPUTED_VALUE"""),5)</f>
        <v>5</v>
      </c>
      <c r="F9" s="15" t="str">
        <f ca="1">IFERROR(__xludf.DUMMYFUNCTION("""COMPUTED_VALUE"""),"Чермашенцева Анжела Сергеевна")</f>
        <v>Чермашенцева Анжела Сергеевна</v>
      </c>
      <c r="G9" s="76">
        <f ca="1">IFERROR(__xludf.DUMMYFUNCTION("""COMPUTED_VALUE"""),10)</f>
        <v>10</v>
      </c>
      <c r="H9" s="76">
        <f ca="1">IFERROR(__xludf.DUMMYFUNCTION("""COMPUTED_VALUE"""),10)</f>
        <v>10</v>
      </c>
      <c r="I9" s="76">
        <f ca="1">IFERROR(__xludf.DUMMYFUNCTION("""COMPUTED_VALUE"""),8)</f>
        <v>8</v>
      </c>
      <c r="J9" s="76">
        <f ca="1">IFERROR(__xludf.DUMMYFUNCTION("""COMPUTED_VALUE"""),12)</f>
        <v>12</v>
      </c>
      <c r="K9" s="76"/>
      <c r="L9" s="76"/>
      <c r="M9" s="76">
        <f ca="1">IFERROR(__xludf.DUMMYFUNCTION("""COMPUTED_VALUE"""),40)</f>
        <v>40</v>
      </c>
      <c r="N9" s="14"/>
      <c r="O9" s="91">
        <f t="shared" ca="1" si="0"/>
        <v>40</v>
      </c>
      <c r="P9" s="91">
        <v>3</v>
      </c>
      <c r="Q9" s="91" t="s">
        <v>82</v>
      </c>
    </row>
    <row r="10" spans="1:18" ht="12.75" x14ac:dyDescent="0.2">
      <c r="A10" s="12">
        <v>4</v>
      </c>
      <c r="B10" s="18" t="str">
        <f ca="1">IFERROR(__xludf.DUMMYFUNCTION("IMPORTRANGE(""https://docs.google.com/spreadsheets/d/16CWr8ky6L0i1S4UOLMYHizeHS6aZnIDEnQPyRJyTpcI/edit#gid=0"", ""Патриот!B3:O7"")"),"Кульчикова Амина Андреевна")</f>
        <v>Кульчикова Амина Андреевна</v>
      </c>
      <c r="C10" s="15"/>
      <c r="D10" s="25" t="str">
        <f ca="1">IFERROR(__xludf.DUMMYFUNCTION("""COMPUTED_VALUE"""),"МОУ ""СОШ ""Патриот"" с кадетскими классами""")</f>
        <v>МОУ "СОШ "Патриот" с кадетскими классами"</v>
      </c>
      <c r="E10" s="15">
        <f ca="1">IFERROR(__xludf.DUMMYFUNCTION("""COMPUTED_VALUE"""),5)</f>
        <v>5</v>
      </c>
      <c r="F10" s="15" t="str">
        <f ca="1">IFERROR(__xludf.DUMMYFUNCTION("""COMPUTED_VALUE"""),"Яскевич Вера Алексеевна")</f>
        <v>Яскевич Вера Алексеевна</v>
      </c>
      <c r="G10" s="76">
        <f ca="1">IFERROR(__xludf.DUMMYFUNCTION("""COMPUTED_VALUE"""),7)</f>
        <v>7</v>
      </c>
      <c r="H10" s="76">
        <f ca="1">IFERROR(__xludf.DUMMYFUNCTION("""COMPUTED_VALUE"""),10)</f>
        <v>10</v>
      </c>
      <c r="I10" s="76">
        <f ca="1">IFERROR(__xludf.DUMMYFUNCTION("""COMPUTED_VALUE"""),7)</f>
        <v>7</v>
      </c>
      <c r="J10" s="76">
        <f ca="1">IFERROR(__xludf.DUMMYFUNCTION("""COMPUTED_VALUE"""),15)</f>
        <v>15</v>
      </c>
      <c r="K10" s="76"/>
      <c r="L10" s="76"/>
      <c r="M10" s="76">
        <f ca="1">IFERROR(__xludf.DUMMYFUNCTION("""COMPUTED_VALUE"""),39)</f>
        <v>39</v>
      </c>
      <c r="N10" s="14"/>
      <c r="O10" s="91">
        <f t="shared" ca="1" si="0"/>
        <v>39</v>
      </c>
      <c r="P10" s="91">
        <v>4</v>
      </c>
      <c r="Q10" s="91" t="s">
        <v>82</v>
      </c>
      <c r="R10" s="30" t="s">
        <v>99</v>
      </c>
    </row>
    <row r="11" spans="1:18" ht="12.75" x14ac:dyDescent="0.2">
      <c r="A11" s="12">
        <v>5</v>
      </c>
      <c r="B11" s="15" t="str">
        <f ca="1">IFERROR(__xludf.DUMMYFUNCTION("""COMPUTED_VALUE"""),"Маркеев Степан Алексеевич")</f>
        <v>Маркеев Степан Алексеевич</v>
      </c>
      <c r="C11" s="15"/>
      <c r="D11" s="25" t="str">
        <f ca="1">IFERROR(__xludf.DUMMYFUNCTION("""COMPUTED_VALUE"""),"МОУ ""СОШ ""Патриот"" с кадетскими классами""")</f>
        <v>МОУ "СОШ "Патриот" с кадетскими классами"</v>
      </c>
      <c r="E11" s="15">
        <f ca="1">IFERROR(__xludf.DUMMYFUNCTION("""COMPUTED_VALUE"""),5)</f>
        <v>5</v>
      </c>
      <c r="F11" s="15" t="str">
        <f ca="1">IFERROR(__xludf.DUMMYFUNCTION("""COMPUTED_VALUE"""),"Яскевич Вера Алексеевна")</f>
        <v>Яскевич Вера Алексеевна</v>
      </c>
      <c r="G11" s="76">
        <f ca="1">IFERROR(__xludf.DUMMYFUNCTION("""COMPUTED_VALUE"""),8)</f>
        <v>8</v>
      </c>
      <c r="H11" s="76">
        <f ca="1">IFERROR(__xludf.DUMMYFUNCTION("""COMPUTED_VALUE"""),10)</f>
        <v>10</v>
      </c>
      <c r="I11" s="76">
        <f ca="1">IFERROR(__xludf.DUMMYFUNCTION("""COMPUTED_VALUE"""),6)</f>
        <v>6</v>
      </c>
      <c r="J11" s="76">
        <f ca="1">IFERROR(__xludf.DUMMYFUNCTION("""COMPUTED_VALUE"""),15)</f>
        <v>15</v>
      </c>
      <c r="K11" s="76"/>
      <c r="L11" s="76"/>
      <c r="M11" s="76">
        <f ca="1">IFERROR(__xludf.DUMMYFUNCTION("""COMPUTED_VALUE"""),39)</f>
        <v>39</v>
      </c>
      <c r="N11" s="14"/>
      <c r="O11" s="91">
        <f t="shared" ca="1" si="0"/>
        <v>39</v>
      </c>
      <c r="P11" s="91">
        <v>5</v>
      </c>
      <c r="Q11" s="91" t="s">
        <v>82</v>
      </c>
      <c r="R11" s="30" t="s">
        <v>100</v>
      </c>
    </row>
    <row r="12" spans="1:18" ht="12.75" x14ac:dyDescent="0.2">
      <c r="A12" s="12">
        <v>6</v>
      </c>
      <c r="B12" s="19" t="str">
        <f ca="1">IFERROR(__xludf.DUMMYFUNCTION("IMPORTRANGE(""https://docs.google.com/spreadsheets/d/16CWr8ky6L0i1S4UOLMYHizeHS6aZnIDEnQPyRJyTpcI/edit#gid=0"", ""СОШ с. Березовка!B3:O7"")"),"Волкова Алёна Алексеевна")</f>
        <v>Волкова Алёна Алексеевна</v>
      </c>
      <c r="C12" s="13"/>
      <c r="D12" s="24" t="str">
        <f ca="1">IFERROR(__xludf.DUMMYFUNCTION("""COMPUTED_VALUE"""),"МОУ ""СОШ с. Березовка""")</f>
        <v>МОУ "СОШ с. Березовка"</v>
      </c>
      <c r="E12" s="13">
        <f ca="1">IFERROR(__xludf.DUMMYFUNCTION("""COMPUTED_VALUE"""),5)</f>
        <v>5</v>
      </c>
      <c r="F12" s="13" t="str">
        <f ca="1">IFERROR(__xludf.DUMMYFUNCTION("""COMPUTED_VALUE"""),"Турсумбек Нагима Айгалиевна ")</f>
        <v xml:space="preserve">Турсумбек Нагима Айгалиевна </v>
      </c>
      <c r="G12" s="91">
        <f ca="1">IFERROR(__xludf.DUMMYFUNCTION("""COMPUTED_VALUE"""),8)</f>
        <v>8</v>
      </c>
      <c r="H12" s="91">
        <f ca="1">IFERROR(__xludf.DUMMYFUNCTION("""COMPUTED_VALUE"""),10)</f>
        <v>10</v>
      </c>
      <c r="I12" s="91">
        <f ca="1">IFERROR(__xludf.DUMMYFUNCTION("""COMPUTED_VALUE"""),8)</f>
        <v>8</v>
      </c>
      <c r="J12" s="91">
        <f ca="1">IFERROR(__xludf.DUMMYFUNCTION("""COMPUTED_VALUE"""),13)</f>
        <v>13</v>
      </c>
      <c r="K12" s="91"/>
      <c r="L12" s="91"/>
      <c r="M12" s="91">
        <f ca="1">IFERROR(__xludf.DUMMYFUNCTION("""COMPUTED_VALUE"""),39)</f>
        <v>39</v>
      </c>
      <c r="N12" s="14"/>
      <c r="O12" s="91">
        <f t="shared" ca="1" si="0"/>
        <v>39</v>
      </c>
      <c r="P12" s="91">
        <v>6</v>
      </c>
      <c r="Q12" s="91" t="s">
        <v>82</v>
      </c>
    </row>
    <row r="13" spans="1:18" ht="12.75" x14ac:dyDescent="0.2">
      <c r="A13" s="12">
        <v>7</v>
      </c>
      <c r="B13" s="13" t="str">
        <f ca="1">IFERROR(__xludf.DUMMYFUNCTION("""COMPUTED_VALUE"""),"Никулина Мария Александровна")</f>
        <v>Никулина Мария Александровна</v>
      </c>
      <c r="C13" s="13"/>
      <c r="D13" s="24" t="str">
        <f ca="1">IFERROR(__xludf.DUMMYFUNCTION("""COMPUTED_VALUE"""),"МОУ ""СОШ им. Ю.А. Гагарина """)</f>
        <v>МОУ "СОШ им. Ю.А. Гагарина "</v>
      </c>
      <c r="E13" s="13">
        <f ca="1">IFERROR(__xludf.DUMMYFUNCTION("""COMPUTED_VALUE"""),5)</f>
        <v>5</v>
      </c>
      <c r="F13" s="13" t="str">
        <f ca="1">IFERROR(__xludf.DUMMYFUNCTION("""COMPUTED_VALUE"""),"Павлова Лариса Сергеевна")</f>
        <v>Павлова Лариса Сергеевна</v>
      </c>
      <c r="G13" s="91">
        <f ca="1">IFERROR(__xludf.DUMMYFUNCTION("""COMPUTED_VALUE"""),6)</f>
        <v>6</v>
      </c>
      <c r="H13" s="91">
        <f ca="1">IFERROR(__xludf.DUMMYFUNCTION("""COMPUTED_VALUE"""),10)</f>
        <v>10</v>
      </c>
      <c r="I13" s="91">
        <f ca="1">IFERROR(__xludf.DUMMYFUNCTION("""COMPUTED_VALUE"""),8)</f>
        <v>8</v>
      </c>
      <c r="J13" s="91">
        <f ca="1">IFERROR(__xludf.DUMMYFUNCTION("""COMPUTED_VALUE"""),15)</f>
        <v>15</v>
      </c>
      <c r="K13" s="91"/>
      <c r="L13" s="91"/>
      <c r="M13" s="91">
        <f ca="1">IFERROR(__xludf.DUMMYFUNCTION("""COMPUTED_VALUE"""),39)</f>
        <v>39</v>
      </c>
      <c r="N13" s="14"/>
      <c r="O13" s="91">
        <f t="shared" ca="1" si="0"/>
        <v>39</v>
      </c>
      <c r="P13" s="91">
        <v>7</v>
      </c>
      <c r="Q13" s="91" t="s">
        <v>82</v>
      </c>
      <c r="R13" s="30" t="s">
        <v>112</v>
      </c>
    </row>
    <row r="14" spans="1:18" ht="12.75" x14ac:dyDescent="0.2">
      <c r="A14" s="12">
        <v>8</v>
      </c>
      <c r="B14" s="13" t="str">
        <f ca="1">IFERROR(__xludf.DUMMYFUNCTION("""COMPUTED_VALUE"""),"Галицина Лиана Михайловна")</f>
        <v>Галицина Лиана Михайловна</v>
      </c>
      <c r="C14" s="13"/>
      <c r="D14" s="24" t="str">
        <f ca="1">IFERROR(__xludf.DUMMYFUNCTION("""COMPUTED_VALUE"""),"МАОУ ""ООШ с. Степное""")</f>
        <v>МАОУ "ООШ с. Степное"</v>
      </c>
      <c r="E14" s="13">
        <f ca="1">IFERROR(__xludf.DUMMYFUNCTION("""COMPUTED_VALUE"""),5)</f>
        <v>5</v>
      </c>
      <c r="F14" s="13" t="str">
        <f ca="1">IFERROR(__xludf.DUMMYFUNCTION("""COMPUTED_VALUE"""),"Макарова Зухра Амирджановна")</f>
        <v>Макарова Зухра Амирджановна</v>
      </c>
      <c r="G14" s="91">
        <f ca="1">IFERROR(__xludf.DUMMYFUNCTION("""COMPUTED_VALUE"""),9)</f>
        <v>9</v>
      </c>
      <c r="H14" s="91">
        <f ca="1">IFERROR(__xludf.DUMMYFUNCTION("""COMPUTED_VALUE"""),3)</f>
        <v>3</v>
      </c>
      <c r="I14" s="91">
        <f ca="1">IFERROR(__xludf.DUMMYFUNCTION("""COMPUTED_VALUE"""),9)</f>
        <v>9</v>
      </c>
      <c r="J14" s="76">
        <f ca="1">SUM(D14:F14)</f>
        <v>5</v>
      </c>
      <c r="K14" s="91"/>
      <c r="L14" s="91"/>
      <c r="M14" s="91">
        <f ca="1">IFERROR(__xludf.DUMMYFUNCTION("""COMPUTED_VALUE"""),36)</f>
        <v>36</v>
      </c>
      <c r="N14" s="15"/>
      <c r="O14" s="91">
        <f t="shared" ca="1" si="0"/>
        <v>36</v>
      </c>
      <c r="P14" s="91">
        <v>8</v>
      </c>
      <c r="Q14" s="91" t="s">
        <v>82</v>
      </c>
      <c r="R14" s="30" t="s">
        <v>113</v>
      </c>
    </row>
    <row r="15" spans="1:18" ht="12.75" x14ac:dyDescent="0.2">
      <c r="A15" s="12">
        <v>9</v>
      </c>
      <c r="B15" s="13" t="str">
        <f ca="1">IFERROR(__xludf.DUMMYFUNCTION("""COMPUTED_VALUE"""),"Разманова Милена Алексеевна")</f>
        <v>Разманова Милена Алексеевна</v>
      </c>
      <c r="C15" s="13"/>
      <c r="D15" s="24" t="str">
        <f ca="1">IFERROR(__xludf.DUMMYFUNCTION("""COMPUTED_VALUE"""),"МАОУ ""ООШ с. Степное""")</f>
        <v>МАОУ "ООШ с. Степное"</v>
      </c>
      <c r="E15" s="13">
        <f ca="1">IFERROR(__xludf.DUMMYFUNCTION("""COMPUTED_VALUE"""),5)</f>
        <v>5</v>
      </c>
      <c r="F15" s="13" t="str">
        <f ca="1">IFERROR(__xludf.DUMMYFUNCTION("""COMPUTED_VALUE"""),"Макарова Зухра Амирджановна")</f>
        <v>Макарова Зухра Амирджановна</v>
      </c>
      <c r="G15" s="91">
        <f ca="1">IFERROR(__xludf.DUMMYFUNCTION("""COMPUTED_VALUE"""),9)</f>
        <v>9</v>
      </c>
      <c r="H15" s="91">
        <f ca="1">IFERROR(__xludf.DUMMYFUNCTION("""COMPUTED_VALUE"""),3)</f>
        <v>3</v>
      </c>
      <c r="I15" s="91">
        <f ca="1">IFERROR(__xludf.DUMMYFUNCTION("""COMPUTED_VALUE"""),9)</f>
        <v>9</v>
      </c>
      <c r="J15" s="76">
        <f ca="1">SUM(D15:F15)</f>
        <v>5</v>
      </c>
      <c r="K15" s="91"/>
      <c r="L15" s="91"/>
      <c r="M15" s="91">
        <f ca="1">IFERROR(__xludf.DUMMYFUNCTION("""COMPUTED_VALUE"""),36)</f>
        <v>36</v>
      </c>
      <c r="N15" s="15"/>
      <c r="O15" s="91">
        <f t="shared" ca="1" si="0"/>
        <v>36</v>
      </c>
      <c r="P15" s="91">
        <v>9</v>
      </c>
      <c r="Q15" s="91" t="s">
        <v>82</v>
      </c>
    </row>
    <row r="16" spans="1:18" ht="12.75" x14ac:dyDescent="0.2">
      <c r="A16" s="12">
        <v>10</v>
      </c>
      <c r="B16" s="18" t="str">
        <f ca="1">IFERROR(__xludf.DUMMYFUNCTION("IMPORTRANGE(""https://docs.google.com/spreadsheets/d/16CWr8ky6L0i1S4UOLMYHizeHS6aZnIDEnQPyRJyTpcI/edit#gid=0"", ""СОШ с. Шумейка!B3:O7"")"),"Глазов Ярослав Сергеевич")</f>
        <v>Глазов Ярослав Сергеевич</v>
      </c>
      <c r="C16" s="13"/>
      <c r="D16" s="24" t="str">
        <f ca="1">IFERROR(__xludf.DUMMYFUNCTION("""COMPUTED_VALUE"""),"МОУ ""СОШ с. Шумейка""")</f>
        <v>МОУ "СОШ с. Шумейка"</v>
      </c>
      <c r="E16" s="13">
        <f ca="1">IFERROR(__xludf.DUMMYFUNCTION("""COMPUTED_VALUE"""),5)</f>
        <v>5</v>
      </c>
      <c r="F16" s="13" t="str">
        <f ca="1">IFERROR(__xludf.DUMMYFUNCTION("""COMPUTED_VALUE"""),"Полякова Наталия Викторовна")</f>
        <v>Полякова Наталия Викторовна</v>
      </c>
      <c r="G16" s="91">
        <f ca="1">IFERROR(__xludf.DUMMYFUNCTION("""COMPUTED_VALUE"""),5)</f>
        <v>5</v>
      </c>
      <c r="H16" s="91">
        <f ca="1">IFERROR(__xludf.DUMMYFUNCTION("""COMPUTED_VALUE"""),8)</f>
        <v>8</v>
      </c>
      <c r="I16" s="91">
        <f ca="1">IFERROR(__xludf.DUMMYFUNCTION("""COMPUTED_VALUE"""),9)</f>
        <v>9</v>
      </c>
      <c r="J16" s="76">
        <f ca="1">SUM(D16:F16)</f>
        <v>5</v>
      </c>
      <c r="K16" s="91"/>
      <c r="L16" s="91"/>
      <c r="M16" s="91">
        <f ca="1">IFERROR(__xludf.DUMMYFUNCTION("""COMPUTED_VALUE"""),35)</f>
        <v>35</v>
      </c>
      <c r="N16" s="15"/>
      <c r="O16" s="91">
        <f t="shared" ca="1" si="0"/>
        <v>35</v>
      </c>
      <c r="P16" s="91">
        <v>10</v>
      </c>
      <c r="Q16" s="91" t="s">
        <v>83</v>
      </c>
    </row>
    <row r="17" spans="1:17" ht="12.75" x14ac:dyDescent="0.2">
      <c r="A17" s="12">
        <v>11</v>
      </c>
      <c r="B17" s="18" t="str">
        <f ca="1">IFERROR(__xludf.DUMMYFUNCTION("IMPORTRANGE(""https://docs.google.com/spreadsheets/d/16CWr8ky6L0i1S4UOLMYHizeHS6aZnIDEnQPyRJyTpcI/edit#gid=0"", ""ООШ с. Старицкое!B3:O7"")"),"Перегудов Владислав Андреевич")</f>
        <v>Перегудов Владислав Андреевич</v>
      </c>
      <c r="C17" s="13"/>
      <c r="D17" s="24" t="str">
        <f ca="1">IFERROR(__xludf.DUMMYFUNCTION("""COMPUTED_VALUE"""),"МОУ ""ООШ с. Старицкое")</f>
        <v>МОУ "ООШ с. Старицкое</v>
      </c>
      <c r="E17" s="13">
        <f ca="1">IFERROR(__xludf.DUMMYFUNCTION("""COMPUTED_VALUE"""),5)</f>
        <v>5</v>
      </c>
      <c r="F17" s="13" t="str">
        <f ca="1">IFERROR(__xludf.DUMMYFUNCTION("""COMPUTED_VALUE"""),"Пономарева Елена Николаевна")</f>
        <v>Пономарева Елена Николаевна</v>
      </c>
      <c r="G17" s="91">
        <f ca="1">IFERROR(__xludf.DUMMYFUNCTION("""COMPUTED_VALUE"""),6)</f>
        <v>6</v>
      </c>
      <c r="H17" s="91">
        <f ca="1">IFERROR(__xludf.DUMMYFUNCTION("""COMPUTED_VALUE"""),8)</f>
        <v>8</v>
      </c>
      <c r="I17" s="91">
        <f ca="1">IFERROR(__xludf.DUMMYFUNCTION("""COMPUTED_VALUE"""),7)</f>
        <v>7</v>
      </c>
      <c r="J17" s="91">
        <f ca="1">IFERROR(__xludf.DUMMYFUNCTION("""COMPUTED_VALUE"""),14)</f>
        <v>14</v>
      </c>
      <c r="K17" s="91"/>
      <c r="L17" s="91"/>
      <c r="M17" s="91">
        <f ca="1">IFERROR(__xludf.DUMMYFUNCTION("""COMPUTED_VALUE"""),35)</f>
        <v>35</v>
      </c>
      <c r="N17" s="14"/>
      <c r="O17" s="91">
        <f t="shared" ca="1" si="0"/>
        <v>35</v>
      </c>
      <c r="P17" s="91">
        <v>11</v>
      </c>
      <c r="Q17" s="91" t="s">
        <v>83</v>
      </c>
    </row>
    <row r="18" spans="1:17" ht="12.75" x14ac:dyDescent="0.2">
      <c r="A18" s="12">
        <v>12</v>
      </c>
      <c r="B18" s="18" t="str">
        <f ca="1">IFERROR(__xludf.DUMMYFUNCTION("IMPORTRANGE(""https://docs.google.com/spreadsheets/d/16CWr8ky6L0i1S4UOLMYHizeHS6aZnIDEnQPyRJyTpcI/edit#gid=0"", ""Нов. век!B43:O60"")"),"Чудакова София Алексеевна")</f>
        <v>Чудакова София Алексеевна</v>
      </c>
      <c r="C18" s="13"/>
      <c r="D18" s="24" t="str">
        <f ca="1">IFERROR(__xludf.DUMMYFUNCTION("""COMPUTED_VALUE"""),"МОУ ""СОШ им. Ю.А. Гагарина """)</f>
        <v>МОУ "СОШ им. Ю.А. Гагарина "</v>
      </c>
      <c r="E18" s="13">
        <f ca="1">IFERROR(__xludf.DUMMYFUNCTION("""COMPUTED_VALUE"""),5)</f>
        <v>5</v>
      </c>
      <c r="F18" s="13" t="str">
        <f ca="1">IFERROR(__xludf.DUMMYFUNCTION("""COMPUTED_VALUE"""),"Павлова Лариса Сергеевна")</f>
        <v>Павлова Лариса Сергеевна</v>
      </c>
      <c r="G18" s="91">
        <f ca="1">IFERROR(__xludf.DUMMYFUNCTION("""COMPUTED_VALUE"""),6)</f>
        <v>6</v>
      </c>
      <c r="H18" s="91">
        <f ca="1">IFERROR(__xludf.DUMMYFUNCTION("""COMPUTED_VALUE"""),8)</f>
        <v>8</v>
      </c>
      <c r="I18" s="91">
        <f ca="1">IFERROR(__xludf.DUMMYFUNCTION("""COMPUTED_VALUE"""),8)</f>
        <v>8</v>
      </c>
      <c r="J18" s="91">
        <f ca="1">IFERROR(__xludf.DUMMYFUNCTION("""COMPUTED_VALUE"""),13)</f>
        <v>13</v>
      </c>
      <c r="K18" s="91"/>
      <c r="L18" s="91"/>
      <c r="M18" s="91">
        <f ca="1">IFERROR(__xludf.DUMMYFUNCTION("""COMPUTED_VALUE"""),35)</f>
        <v>35</v>
      </c>
      <c r="N18" s="14"/>
      <c r="O18" s="91">
        <f t="shared" ca="1" si="0"/>
        <v>35</v>
      </c>
      <c r="P18" s="91">
        <v>12</v>
      </c>
      <c r="Q18" s="91" t="s">
        <v>83</v>
      </c>
    </row>
    <row r="19" spans="1:17" ht="12.75" x14ac:dyDescent="0.2">
      <c r="A19" s="12">
        <v>13</v>
      </c>
      <c r="B19" s="13" t="str">
        <f ca="1">IFERROR(__xludf.DUMMYFUNCTION("""COMPUTED_VALUE"""),"Дорошенко София Денисовна")</f>
        <v>Дорошенко София Денисовна</v>
      </c>
      <c r="C19" s="13"/>
      <c r="D19" s="24" t="str">
        <f ca="1">IFERROR(__xludf.DUMMYFUNCTION("""COMPUTED_VALUE"""),"МОУ ""СОШ им. Ю.А. Гагарина """)</f>
        <v>МОУ "СОШ им. Ю.А. Гагарина "</v>
      </c>
      <c r="E19" s="13">
        <f ca="1">IFERROR(__xludf.DUMMYFUNCTION("""COMPUTED_VALUE"""),5)</f>
        <v>5</v>
      </c>
      <c r="F19" s="13" t="str">
        <f ca="1">IFERROR(__xludf.DUMMYFUNCTION("""COMPUTED_VALUE"""),"Павлова Лариса Сергеевна")</f>
        <v>Павлова Лариса Сергеевна</v>
      </c>
      <c r="G19" s="91">
        <f ca="1">IFERROR(__xludf.DUMMYFUNCTION("""COMPUTED_VALUE"""),6)</f>
        <v>6</v>
      </c>
      <c r="H19" s="91">
        <f ca="1">IFERROR(__xludf.DUMMYFUNCTION("""COMPUTED_VALUE"""),8)</f>
        <v>8</v>
      </c>
      <c r="I19" s="91">
        <f ca="1">IFERROR(__xludf.DUMMYFUNCTION("""COMPUTED_VALUE"""),7)</f>
        <v>7</v>
      </c>
      <c r="J19" s="91">
        <f ca="1">IFERROR(__xludf.DUMMYFUNCTION("""COMPUTED_VALUE"""),13)</f>
        <v>13</v>
      </c>
      <c r="K19" s="91"/>
      <c r="L19" s="91"/>
      <c r="M19" s="91">
        <f ca="1">IFERROR(__xludf.DUMMYFUNCTION("""COMPUTED_VALUE"""),34)</f>
        <v>34</v>
      </c>
      <c r="N19" s="14"/>
      <c r="O19" s="91">
        <f t="shared" ca="1" si="0"/>
        <v>34</v>
      </c>
      <c r="P19" s="91">
        <v>13</v>
      </c>
      <c r="Q19" s="91" t="s">
        <v>83</v>
      </c>
    </row>
    <row r="20" spans="1:17" ht="12.75" x14ac:dyDescent="0.2">
      <c r="A20" s="12">
        <v>14</v>
      </c>
      <c r="B20" s="13" t="str">
        <f ca="1">IFERROR(__xludf.DUMMYFUNCTION("""COMPUTED_VALUE"""),"Салдин Евгений Владимирович")</f>
        <v>Салдин Евгений Владимирович</v>
      </c>
      <c r="C20" s="13"/>
      <c r="D20" s="24" t="str">
        <f ca="1">IFERROR(__xludf.DUMMYFUNCTION("""COMPUTED_VALUE"""),"МОУ ""СОШ им. Ю.А. Гагарина """)</f>
        <v>МОУ "СОШ им. Ю.А. Гагарина "</v>
      </c>
      <c r="E20" s="13">
        <f ca="1">IFERROR(__xludf.DUMMYFUNCTION("""COMPUTED_VALUE"""),5)</f>
        <v>5</v>
      </c>
      <c r="F20" s="13" t="str">
        <f ca="1">IFERROR(__xludf.DUMMYFUNCTION("""COMPUTED_VALUE"""),"Павлова Лариса Сергеевна")</f>
        <v>Павлова Лариса Сергеевна</v>
      </c>
      <c r="G20" s="91">
        <f ca="1">IFERROR(__xludf.DUMMYFUNCTION("""COMPUTED_VALUE"""),7)</f>
        <v>7</v>
      </c>
      <c r="H20" s="91">
        <f ca="1">IFERROR(__xludf.DUMMYFUNCTION("""COMPUTED_VALUE"""),8)</f>
        <v>8</v>
      </c>
      <c r="I20" s="91">
        <f ca="1">IFERROR(__xludf.DUMMYFUNCTION("""COMPUTED_VALUE"""),7)</f>
        <v>7</v>
      </c>
      <c r="J20" s="91">
        <f ca="1">IFERROR(__xludf.DUMMYFUNCTION("""COMPUTED_VALUE"""),12)</f>
        <v>12</v>
      </c>
      <c r="K20" s="91"/>
      <c r="L20" s="91"/>
      <c r="M20" s="91">
        <f ca="1">IFERROR(__xludf.DUMMYFUNCTION("""COMPUTED_VALUE"""),34)</f>
        <v>34</v>
      </c>
      <c r="N20" s="14"/>
      <c r="O20" s="91">
        <f t="shared" ca="1" si="0"/>
        <v>34</v>
      </c>
      <c r="P20" s="91">
        <v>14</v>
      </c>
      <c r="Q20" s="91" t="s">
        <v>83</v>
      </c>
    </row>
    <row r="21" spans="1:17" ht="12.75" x14ac:dyDescent="0.2">
      <c r="A21" s="12">
        <v>15</v>
      </c>
      <c r="B21" s="15" t="str">
        <f ca="1">IFERROR(__xludf.DUMMYFUNCTION("""COMPUTED_VALUE"""),"Дементьева Александра Ильинична")</f>
        <v>Дементьева Александра Ильинична</v>
      </c>
      <c r="C21" s="15"/>
      <c r="D21" s="25" t="str">
        <f ca="1">IFERROR(__xludf.DUMMYFUNCTION("""COMPUTED_VALUE"""),"МОУ ""СОШ им. Ю.А. Гагарина """)</f>
        <v>МОУ "СОШ им. Ю.А. Гагарина "</v>
      </c>
      <c r="E21" s="15">
        <f ca="1">IFERROR(__xludf.DUMMYFUNCTION("""COMPUTED_VALUE"""),5)</f>
        <v>5</v>
      </c>
      <c r="F21" s="15" t="str">
        <f ca="1">IFERROR(__xludf.DUMMYFUNCTION("""COMPUTED_VALUE"""),"Павлова Лариса Сергеевна")</f>
        <v>Павлова Лариса Сергеевна</v>
      </c>
      <c r="G21" s="76">
        <f ca="1">IFERROR(__xludf.DUMMYFUNCTION("""COMPUTED_VALUE"""),5)</f>
        <v>5</v>
      </c>
      <c r="H21" s="76">
        <f ca="1">IFERROR(__xludf.DUMMYFUNCTION("""COMPUTED_VALUE"""),8)</f>
        <v>8</v>
      </c>
      <c r="I21" s="76">
        <f ca="1">IFERROR(__xludf.DUMMYFUNCTION("""COMPUTED_VALUE"""),8)</f>
        <v>8</v>
      </c>
      <c r="J21" s="76">
        <f ca="1">IFERROR(__xludf.DUMMYFUNCTION("""COMPUTED_VALUE"""),12)</f>
        <v>12</v>
      </c>
      <c r="K21" s="76"/>
      <c r="L21" s="76"/>
      <c r="M21" s="76">
        <f ca="1">IFERROR(__xludf.DUMMYFUNCTION("""COMPUTED_VALUE"""),33)</f>
        <v>33</v>
      </c>
      <c r="N21" s="14"/>
      <c r="O21" s="91">
        <f t="shared" ca="1" si="0"/>
        <v>33</v>
      </c>
      <c r="P21" s="91">
        <v>15</v>
      </c>
      <c r="Q21" s="91" t="s">
        <v>83</v>
      </c>
    </row>
    <row r="22" spans="1:17" ht="12.75" x14ac:dyDescent="0.2">
      <c r="A22" s="12">
        <v>16</v>
      </c>
      <c r="B22" s="15" t="str">
        <f ca="1">IFERROR(__xludf.DUMMYFUNCTION("""COMPUTED_VALUE"""),"Шахмалиев Эльдар Ергалиевич")</f>
        <v>Шахмалиев Эльдар Ергалиевич</v>
      </c>
      <c r="C22" s="15"/>
      <c r="D22" s="25" t="str">
        <f ca="1">IFERROR(__xludf.DUMMYFUNCTION("""COMPUTED_VALUE"""),"МОУ ""СОШ №31""")</f>
        <v>МОУ "СОШ №31"</v>
      </c>
      <c r="E22" s="15">
        <f ca="1">IFERROR(__xludf.DUMMYFUNCTION("""COMPUTED_VALUE"""),5)</f>
        <v>5</v>
      </c>
      <c r="F22" s="15" t="str">
        <f ca="1">IFERROR(__xludf.DUMMYFUNCTION("""COMPUTED_VALUE"""),"Котлярова Евгения Владимировна")</f>
        <v>Котлярова Евгения Владимировна</v>
      </c>
      <c r="G22" s="76">
        <f ca="1">IFERROR(__xludf.DUMMYFUNCTION("""COMPUTED_VALUE"""),3)</f>
        <v>3</v>
      </c>
      <c r="H22" s="76">
        <f ca="1">IFERROR(__xludf.DUMMYFUNCTION("""COMPUTED_VALUE"""),10)</f>
        <v>10</v>
      </c>
      <c r="I22" s="76">
        <f ca="1">IFERROR(__xludf.DUMMYFUNCTION("""COMPUTED_VALUE"""),3)</f>
        <v>3</v>
      </c>
      <c r="J22" s="76">
        <v>16</v>
      </c>
      <c r="K22" s="76"/>
      <c r="L22" s="76"/>
      <c r="M22" s="76">
        <f ca="1">IFERROR(__xludf.DUMMYFUNCTION("""COMPUTED_VALUE"""),32)</f>
        <v>32</v>
      </c>
      <c r="N22" s="15"/>
      <c r="O22" s="91">
        <f t="shared" ca="1" si="0"/>
        <v>32</v>
      </c>
      <c r="P22" s="91">
        <v>16</v>
      </c>
      <c r="Q22" s="91" t="s">
        <v>83</v>
      </c>
    </row>
    <row r="23" spans="1:17" ht="12.75" x14ac:dyDescent="0.2">
      <c r="A23" s="12">
        <v>17</v>
      </c>
      <c r="B23" s="15" t="str">
        <f ca="1">IFERROR(__xludf.DUMMYFUNCTION("""COMPUTED_VALUE"""),"Кондратенко Александр Владимирович")</f>
        <v>Кондратенко Александр Владимирович</v>
      </c>
      <c r="C23" s="15"/>
      <c r="D23" s="25" t="str">
        <f ca="1">IFERROR(__xludf.DUMMYFUNCTION("""COMPUTED_VALUE"""),"МОУ ""СОШ №33""")</f>
        <v>МОУ "СОШ №33"</v>
      </c>
      <c r="E23" s="15">
        <f ca="1">IFERROR(__xludf.DUMMYFUNCTION("""COMPUTED_VALUE"""),5)</f>
        <v>5</v>
      </c>
      <c r="F23" s="15" t="str">
        <f ca="1">IFERROR(__xludf.DUMMYFUNCTION("""COMPUTED_VALUE"""),"Сибряева Надежда Васильевна")</f>
        <v>Сибряева Надежда Васильевна</v>
      </c>
      <c r="G23" s="76">
        <f ca="1">IFERROR(__xludf.DUMMYFUNCTION("""COMPUTED_VALUE"""),6)</f>
        <v>6</v>
      </c>
      <c r="H23" s="76">
        <f ca="1">IFERROR(__xludf.DUMMYFUNCTION("""COMPUTED_VALUE"""),10)</f>
        <v>10</v>
      </c>
      <c r="I23" s="76">
        <f ca="1">IFERROR(__xludf.DUMMYFUNCTION("""COMPUTED_VALUE"""),5)</f>
        <v>5</v>
      </c>
      <c r="J23" s="76">
        <f ca="1">IFERROR(__xludf.DUMMYFUNCTION("""COMPUTED_VALUE"""),11)</f>
        <v>11</v>
      </c>
      <c r="K23" s="76"/>
      <c r="L23" s="76"/>
      <c r="M23" s="76">
        <f ca="1">IFERROR(__xludf.DUMMYFUNCTION("""COMPUTED_VALUE"""),32)</f>
        <v>32</v>
      </c>
      <c r="N23" s="14"/>
      <c r="O23" s="91">
        <f t="shared" ca="1" si="0"/>
        <v>32</v>
      </c>
      <c r="P23" s="91">
        <v>17</v>
      </c>
      <c r="Q23" s="91" t="s">
        <v>83</v>
      </c>
    </row>
    <row r="24" spans="1:17" ht="12.75" x14ac:dyDescent="0.2">
      <c r="A24" s="12">
        <v>18</v>
      </c>
      <c r="B24" s="13" t="str">
        <f ca="1">IFERROR(__xludf.DUMMYFUNCTION("""COMPUTED_VALUE"""),"Экгардт Владимир Александрович")</f>
        <v>Экгардт Владимир Александрович</v>
      </c>
      <c r="C24" s="13"/>
      <c r="D24" s="24" t="str">
        <f ca="1">IFERROR(__xludf.DUMMYFUNCTION("""COMPUTED_VALUE"""),"МОУ ""СОШ с. Шумейка""")</f>
        <v>МОУ "СОШ с. Шумейка"</v>
      </c>
      <c r="E24" s="13">
        <f ca="1">IFERROR(__xludf.DUMMYFUNCTION("""COMPUTED_VALUE"""),5)</f>
        <v>5</v>
      </c>
      <c r="F24" s="13" t="str">
        <f ca="1">IFERROR(__xludf.DUMMYFUNCTION("""COMPUTED_VALUE"""),"Полякова Наталия Викторовна")</f>
        <v>Полякова Наталия Викторовна</v>
      </c>
      <c r="G24" s="91">
        <f ca="1">IFERROR(__xludf.DUMMYFUNCTION("""COMPUTED_VALUE"""),4)</f>
        <v>4</v>
      </c>
      <c r="H24" s="91">
        <f ca="1">IFERROR(__xludf.DUMMYFUNCTION("""COMPUTED_VALUE"""),10)</f>
        <v>10</v>
      </c>
      <c r="I24" s="91">
        <f ca="1">IFERROR(__xludf.DUMMYFUNCTION("""COMPUTED_VALUE"""),7)</f>
        <v>7</v>
      </c>
      <c r="J24" s="91">
        <v>11</v>
      </c>
      <c r="K24" s="91"/>
      <c r="L24" s="91"/>
      <c r="M24" s="91">
        <f ca="1">IFERROR(__xludf.DUMMYFUNCTION("""COMPUTED_VALUE"""),32)</f>
        <v>32</v>
      </c>
      <c r="N24" s="15"/>
      <c r="O24" s="91">
        <f t="shared" ca="1" si="0"/>
        <v>32</v>
      </c>
      <c r="P24" s="91">
        <v>18</v>
      </c>
      <c r="Q24" s="91" t="s">
        <v>83</v>
      </c>
    </row>
    <row r="25" spans="1:17" ht="12.75" x14ac:dyDescent="0.2">
      <c r="A25" s="12">
        <v>19</v>
      </c>
      <c r="B25" s="13" t="str">
        <f ca="1">IFERROR(__xludf.DUMMYFUNCTION("""COMPUTED_VALUE"""),"Дадушкина Дарья Васильевна")</f>
        <v>Дадушкина Дарья Васильевна</v>
      </c>
      <c r="C25" s="13"/>
      <c r="D25" s="24" t="str">
        <f ca="1">IFERROR(__xludf.DUMMYFUNCTION("""COMPUTED_VALUE"""),"МОУ ""СОШ им. Ю.А. Гагарина """)</f>
        <v>МОУ "СОШ им. Ю.А. Гагарина "</v>
      </c>
      <c r="E25" s="13">
        <f ca="1">IFERROR(__xludf.DUMMYFUNCTION("""COMPUTED_VALUE"""),5)</f>
        <v>5</v>
      </c>
      <c r="F25" s="13" t="str">
        <f ca="1">IFERROR(__xludf.DUMMYFUNCTION("""COMPUTED_VALUE"""),"Павлова Лариса Сергеевна")</f>
        <v>Павлова Лариса Сергеевна</v>
      </c>
      <c r="G25" s="91">
        <f ca="1">IFERROR(__xludf.DUMMYFUNCTION("""COMPUTED_VALUE"""),7)</f>
        <v>7</v>
      </c>
      <c r="H25" s="91">
        <f ca="1">IFERROR(__xludf.DUMMYFUNCTION("""COMPUTED_VALUE"""),4)</f>
        <v>4</v>
      </c>
      <c r="I25" s="91">
        <f ca="1">IFERROR(__xludf.DUMMYFUNCTION("""COMPUTED_VALUE"""),8)</f>
        <v>8</v>
      </c>
      <c r="J25" s="91">
        <f ca="1">IFERROR(__xludf.DUMMYFUNCTION("""COMPUTED_VALUE"""),13)</f>
        <v>13</v>
      </c>
      <c r="K25" s="91"/>
      <c r="L25" s="91"/>
      <c r="M25" s="91">
        <f ca="1">IFERROR(__xludf.DUMMYFUNCTION("""COMPUTED_VALUE"""),32)</f>
        <v>32</v>
      </c>
      <c r="N25" s="14"/>
      <c r="O25" s="91">
        <f t="shared" ca="1" si="0"/>
        <v>32</v>
      </c>
      <c r="P25" s="91">
        <v>19</v>
      </c>
      <c r="Q25" s="91" t="s">
        <v>83</v>
      </c>
    </row>
    <row r="26" spans="1:17" ht="12.75" x14ac:dyDescent="0.2">
      <c r="A26" s="12">
        <v>20</v>
      </c>
      <c r="B26" s="13" t="str">
        <f ca="1">IFERROR(__xludf.DUMMYFUNCTION("""COMPUTED_VALUE"""),"Алфелди Владислав Вячеславович")</f>
        <v>Алфелди Владислав Вячеславович</v>
      </c>
      <c r="C26" s="13"/>
      <c r="D26" s="24" t="str">
        <f ca="1">IFERROR(__xludf.DUMMYFUNCTION("""COMPUTED_VALUE"""),"МОУ ""СОШ им. Ю.А. Гагарина """)</f>
        <v>МОУ "СОШ им. Ю.А. Гагарина "</v>
      </c>
      <c r="E26" s="13">
        <f ca="1">IFERROR(__xludf.DUMMYFUNCTION("""COMPUTED_VALUE"""),5)</f>
        <v>5</v>
      </c>
      <c r="F26" s="13" t="str">
        <f ca="1">IFERROR(__xludf.DUMMYFUNCTION("""COMPUTED_VALUE"""),"Павлова Лариса Сергеевна")</f>
        <v>Павлова Лариса Сергеевна</v>
      </c>
      <c r="G26" s="91">
        <f ca="1">IFERROR(__xludf.DUMMYFUNCTION("""COMPUTED_VALUE"""),7)</f>
        <v>7</v>
      </c>
      <c r="H26" s="91">
        <f ca="1">IFERROR(__xludf.DUMMYFUNCTION("""COMPUTED_VALUE"""),8)</f>
        <v>8</v>
      </c>
      <c r="I26" s="91">
        <f ca="1">IFERROR(__xludf.DUMMYFUNCTION("""COMPUTED_VALUE"""),4)</f>
        <v>4</v>
      </c>
      <c r="J26" s="91">
        <f ca="1">IFERROR(__xludf.DUMMYFUNCTION("""COMPUTED_VALUE"""),13)</f>
        <v>13</v>
      </c>
      <c r="K26" s="91"/>
      <c r="L26" s="91"/>
      <c r="M26" s="91">
        <f ca="1">IFERROR(__xludf.DUMMYFUNCTION("""COMPUTED_VALUE"""),32)</f>
        <v>32</v>
      </c>
      <c r="N26" s="14"/>
      <c r="O26" s="91">
        <f t="shared" ca="1" si="0"/>
        <v>32</v>
      </c>
      <c r="P26" s="91">
        <v>20</v>
      </c>
      <c r="Q26" s="91" t="s">
        <v>83</v>
      </c>
    </row>
    <row r="27" spans="1:17" ht="12.75" x14ac:dyDescent="0.2">
      <c r="A27" s="12">
        <v>21</v>
      </c>
      <c r="B27" s="13" t="str">
        <f ca="1">IFERROR(__xludf.DUMMYFUNCTION("""COMPUTED_VALUE"""),"Мельников Егор Андреевич")</f>
        <v>Мельников Егор Андреевич</v>
      </c>
      <c r="C27" s="13"/>
      <c r="D27" s="2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7" s="13">
        <f ca="1">IFERROR(__xludf.DUMMYFUNCTION("""COMPUTED_VALUE"""),5)</f>
        <v>5</v>
      </c>
      <c r="F27" s="13" t="str">
        <f ca="1">IFERROR(__xludf.DUMMYFUNCTION("""COMPUTED_VALUE"""),"Яскевич Вера Алексеевна")</f>
        <v>Яскевич Вера Алексеевна</v>
      </c>
      <c r="G27" s="91">
        <f ca="1">IFERROR(__xludf.DUMMYFUNCTION("""COMPUTED_VALUE"""),6)</f>
        <v>6</v>
      </c>
      <c r="H27" s="91">
        <f ca="1">IFERROR(__xludf.DUMMYFUNCTION("""COMPUTED_VALUE"""),8)</f>
        <v>8</v>
      </c>
      <c r="I27" s="91">
        <f ca="1">IFERROR(__xludf.DUMMYFUNCTION("""COMPUTED_VALUE"""),6)</f>
        <v>6</v>
      </c>
      <c r="J27" s="91">
        <f ca="1">IFERROR(__xludf.DUMMYFUNCTION("""COMPUTED_VALUE"""),12)</f>
        <v>12</v>
      </c>
      <c r="K27" s="91"/>
      <c r="L27" s="91"/>
      <c r="M27" s="91">
        <f ca="1">IFERROR(__xludf.DUMMYFUNCTION("""COMPUTED_VALUE"""),32)</f>
        <v>32</v>
      </c>
      <c r="N27" s="14"/>
      <c r="O27" s="91">
        <f t="shared" ca="1" si="0"/>
        <v>32</v>
      </c>
      <c r="P27" s="91">
        <v>21</v>
      </c>
      <c r="Q27" s="91" t="s">
        <v>83</v>
      </c>
    </row>
    <row r="28" spans="1:17" ht="12.75" x14ac:dyDescent="0.2">
      <c r="A28" s="12">
        <v>22</v>
      </c>
      <c r="B28" s="18" t="str">
        <f ca="1">IFERROR(__xludf.DUMMYFUNCTION("IMPORTRANGE(""https://docs.google.com/spreadsheets/d/16CWr8ky6L0i1S4UOLMYHizeHS6aZnIDEnQPyRJyTpcI/edit#gid=0"", ""СОШ №24!B3:O7"")"),"Левшина Полина Сергеевна")</f>
        <v>Левшина Полина Сергеевна</v>
      </c>
      <c r="C28" s="15"/>
      <c r="D28" s="25" t="str">
        <f ca="1">IFERROR(__xludf.DUMMYFUNCTION("""COMPUTED_VALUE"""),"МОУ ""СОШ №24""")</f>
        <v>МОУ "СОШ №24"</v>
      </c>
      <c r="E28" s="15">
        <f ca="1">IFERROR(__xludf.DUMMYFUNCTION("""COMPUTED_VALUE"""),5)</f>
        <v>5</v>
      </c>
      <c r="F28" s="15" t="str">
        <f ca="1">IFERROR(__xludf.DUMMYFUNCTION("""COMPUTED_VALUE"""),"Моисеева Татьяна Владимировна")</f>
        <v>Моисеева Татьяна Владимировна</v>
      </c>
      <c r="G28" s="76">
        <f ca="1">IFERROR(__xludf.DUMMYFUNCTION("""COMPUTED_VALUE"""),5)</f>
        <v>5</v>
      </c>
      <c r="H28" s="76">
        <f ca="1">IFERROR(__xludf.DUMMYFUNCTION("""COMPUTED_VALUE"""),8)</f>
        <v>8</v>
      </c>
      <c r="I28" s="76">
        <f ca="1">IFERROR(__xludf.DUMMYFUNCTION("""COMPUTED_VALUE"""),8)</f>
        <v>8</v>
      </c>
      <c r="J28" s="76">
        <f ca="1">IFERROR(__xludf.DUMMYFUNCTION("""COMPUTED_VALUE"""),10)</f>
        <v>10</v>
      </c>
      <c r="K28" s="76"/>
      <c r="L28" s="76"/>
      <c r="M28" s="76">
        <f ca="1">IFERROR(__xludf.DUMMYFUNCTION("""COMPUTED_VALUE"""),31)</f>
        <v>31</v>
      </c>
      <c r="N28" s="14"/>
      <c r="O28" s="91">
        <f t="shared" ca="1" si="0"/>
        <v>31</v>
      </c>
      <c r="P28" s="91">
        <v>22</v>
      </c>
      <c r="Q28" s="91" t="s">
        <v>83</v>
      </c>
    </row>
    <row r="29" spans="1:17" ht="12.75" x14ac:dyDescent="0.2">
      <c r="A29" s="12">
        <v>23</v>
      </c>
      <c r="B29" s="15" t="str">
        <f ca="1">IFERROR(__xludf.DUMMYFUNCTION("""COMPUTED_VALUE"""),"Фуникова Дарья Романовна")</f>
        <v>Фуникова Дарья Романовна</v>
      </c>
      <c r="C29" s="15"/>
      <c r="D29" s="25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9" s="15">
        <f ca="1">IFERROR(__xludf.DUMMYFUNCTION("""COMPUTED_VALUE"""),5)</f>
        <v>5</v>
      </c>
      <c r="F29" s="15" t="str">
        <f ca="1">IFERROR(__xludf.DUMMYFUNCTION("""COMPUTED_VALUE"""),"Яскевич Вера Алексеевна")</f>
        <v>Яскевич Вера Алексеевна</v>
      </c>
      <c r="G29" s="76">
        <f ca="1">IFERROR(__xludf.DUMMYFUNCTION("""COMPUTED_VALUE"""),7)</f>
        <v>7</v>
      </c>
      <c r="H29" s="76">
        <f ca="1">IFERROR(__xludf.DUMMYFUNCTION("""COMPUTED_VALUE"""),6)</f>
        <v>6</v>
      </c>
      <c r="I29" s="76">
        <f ca="1">IFERROR(__xludf.DUMMYFUNCTION("""COMPUTED_VALUE"""),8)</f>
        <v>8</v>
      </c>
      <c r="J29" s="76">
        <f ca="1">IFERROR(__xludf.DUMMYFUNCTION("""COMPUTED_VALUE"""),10)</f>
        <v>10</v>
      </c>
      <c r="K29" s="76"/>
      <c r="L29" s="76"/>
      <c r="M29" s="76">
        <f ca="1">IFERROR(__xludf.DUMMYFUNCTION("""COMPUTED_VALUE"""),31)</f>
        <v>31</v>
      </c>
      <c r="N29" s="14"/>
      <c r="O29" s="91">
        <f t="shared" ca="1" si="0"/>
        <v>31</v>
      </c>
      <c r="P29" s="91">
        <v>23</v>
      </c>
      <c r="Q29" s="91" t="s">
        <v>83</v>
      </c>
    </row>
    <row r="30" spans="1:17" ht="12.75" x14ac:dyDescent="0.2">
      <c r="A30" s="12">
        <v>24</v>
      </c>
      <c r="B30" s="15" t="str">
        <f ca="1">IFERROR(__xludf.DUMMYFUNCTION("""COMPUTED_VALUE"""),"Серова Анастасия Кирилловна")</f>
        <v>Серова Анастасия Кирилловна</v>
      </c>
      <c r="C30" s="15"/>
      <c r="D30" s="25" t="str">
        <f ca="1">IFERROR(__xludf.DUMMYFUNCTION("""COMPUTED_VALUE"""),"МОУ ""МЭЛ им. Шнитке А.Г.""")</f>
        <v>МОУ "МЭЛ им. Шнитке А.Г."</v>
      </c>
      <c r="E30" s="15">
        <f ca="1">IFERROR(__xludf.DUMMYFUNCTION("""COMPUTED_VALUE"""),5)</f>
        <v>5</v>
      </c>
      <c r="F30" s="15" t="str">
        <f ca="1">IFERROR(__xludf.DUMMYFUNCTION("""COMPUTED_VALUE"""),"Мотавкина Светлана Сергеевна")</f>
        <v>Мотавкина Светлана Сергеевна</v>
      </c>
      <c r="G30" s="76">
        <f ca="1">IFERROR(__xludf.DUMMYFUNCTION("""COMPUTED_VALUE"""),5)</f>
        <v>5</v>
      </c>
      <c r="H30" s="76">
        <f ca="1">IFERROR(__xludf.DUMMYFUNCTION("""COMPUTED_VALUE"""),10)</f>
        <v>10</v>
      </c>
      <c r="I30" s="76">
        <f ca="1">IFERROR(__xludf.DUMMYFUNCTION("""COMPUTED_VALUE"""),5)</f>
        <v>5</v>
      </c>
      <c r="J30" s="76">
        <v>11</v>
      </c>
      <c r="K30" s="76"/>
      <c r="L30" s="76"/>
      <c r="M30" s="76">
        <f ca="1">IFERROR(__xludf.DUMMYFUNCTION("""COMPUTED_VALUE"""),31)</f>
        <v>31</v>
      </c>
      <c r="N30" s="15"/>
      <c r="O30" s="91">
        <f t="shared" ca="1" si="0"/>
        <v>31</v>
      </c>
      <c r="P30" s="91">
        <v>24</v>
      </c>
      <c r="Q30" s="91" t="s">
        <v>83</v>
      </c>
    </row>
    <row r="31" spans="1:17" ht="12.75" x14ac:dyDescent="0.2">
      <c r="A31" s="12">
        <v>25</v>
      </c>
      <c r="B31" s="15" t="str">
        <f ca="1">IFERROR(__xludf.DUMMYFUNCTION("""COMPUTED_VALUE"""),"Поляков Никита Романович")</f>
        <v>Поляков Никита Романович</v>
      </c>
      <c r="C31" s="15"/>
      <c r="D31" s="25" t="str">
        <f ca="1">IFERROR(__xludf.DUMMYFUNCTION("""COMPUTED_VALUE"""),"МОУ ""СОШ №31""")</f>
        <v>МОУ "СОШ №31"</v>
      </c>
      <c r="E31" s="15">
        <f ca="1">IFERROR(__xludf.DUMMYFUNCTION("""COMPUTED_VALUE"""),5)</f>
        <v>5</v>
      </c>
      <c r="F31" s="15" t="str">
        <f ca="1">IFERROR(__xludf.DUMMYFUNCTION("""COMPUTED_VALUE"""),"Котлярова Евгения Владимировна")</f>
        <v>Котлярова Евгения Владимировна</v>
      </c>
      <c r="G31" s="76">
        <f ca="1">IFERROR(__xludf.DUMMYFUNCTION("""COMPUTED_VALUE"""),4)</f>
        <v>4</v>
      </c>
      <c r="H31" s="76">
        <f ca="1">IFERROR(__xludf.DUMMYFUNCTION("""COMPUTED_VALUE"""),6)</f>
        <v>6</v>
      </c>
      <c r="I31" s="76">
        <f ca="1">IFERROR(__xludf.DUMMYFUNCTION("""COMPUTED_VALUE"""),8)</f>
        <v>8</v>
      </c>
      <c r="J31" s="76">
        <v>12</v>
      </c>
      <c r="K31" s="76"/>
      <c r="L31" s="76"/>
      <c r="M31" s="76">
        <f ca="1">IFERROR(__xludf.DUMMYFUNCTION("""COMPUTED_VALUE"""),30)</f>
        <v>30</v>
      </c>
      <c r="N31" s="15"/>
      <c r="O31" s="91">
        <f t="shared" ca="1" si="0"/>
        <v>30</v>
      </c>
      <c r="P31" s="91">
        <v>25</v>
      </c>
      <c r="Q31" s="91" t="s">
        <v>83</v>
      </c>
    </row>
    <row r="32" spans="1:17" ht="12.75" x14ac:dyDescent="0.2">
      <c r="A32" s="12">
        <v>26</v>
      </c>
      <c r="B32" s="15" t="str">
        <f ca="1">IFERROR(__xludf.DUMMYFUNCTION("""COMPUTED_VALUE"""),"Адлгереев Эмин Эльдарович")</f>
        <v>Адлгереев Эмин Эльдарович</v>
      </c>
      <c r="C32" s="15"/>
      <c r="D32" s="25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2" s="15">
        <f ca="1">IFERROR(__xludf.DUMMYFUNCTION("""COMPUTED_VALUE"""),5)</f>
        <v>5</v>
      </c>
      <c r="F32" s="15" t="str">
        <f ca="1">IFERROR(__xludf.DUMMYFUNCTION("""COMPUTED_VALUE"""),"Яскевич Вера Алексеевна")</f>
        <v>Яскевич Вера Алексеевна</v>
      </c>
      <c r="G32" s="76">
        <f ca="1">IFERROR(__xludf.DUMMYFUNCTION("""COMPUTED_VALUE"""),6)</f>
        <v>6</v>
      </c>
      <c r="H32" s="76">
        <f ca="1">IFERROR(__xludf.DUMMYFUNCTION("""COMPUTED_VALUE"""),8)</f>
        <v>8</v>
      </c>
      <c r="I32" s="76">
        <f ca="1">IFERROR(__xludf.DUMMYFUNCTION("""COMPUTED_VALUE"""),6)</f>
        <v>6</v>
      </c>
      <c r="J32" s="76">
        <f ca="1">IFERROR(__xludf.DUMMYFUNCTION("""COMPUTED_VALUE"""),10)</f>
        <v>10</v>
      </c>
      <c r="K32" s="76"/>
      <c r="L32" s="76"/>
      <c r="M32" s="76">
        <f ca="1">IFERROR(__xludf.DUMMYFUNCTION("""COMPUTED_VALUE"""),30)</f>
        <v>30</v>
      </c>
      <c r="N32" s="14"/>
      <c r="O32" s="91">
        <f t="shared" ca="1" si="0"/>
        <v>30</v>
      </c>
      <c r="P32" s="91">
        <v>26</v>
      </c>
      <c r="Q32" s="91" t="s">
        <v>83</v>
      </c>
    </row>
    <row r="33" spans="1:17" ht="12.75" x14ac:dyDescent="0.2">
      <c r="A33" s="12">
        <v>27</v>
      </c>
      <c r="B33" s="13" t="str">
        <f ca="1">IFERROR(__xludf.DUMMYFUNCTION("""COMPUTED_VALUE"""),"Забрусков Егор Константинович")</f>
        <v>Забрусков Егор Константинович</v>
      </c>
      <c r="C33" s="13"/>
      <c r="D33" s="24" t="str">
        <f ca="1">IFERROR(__xludf.DUMMYFUNCTION("""COMPUTED_VALUE"""),"МОУ ""СОШ им. Ю.А. Гагарина """)</f>
        <v>МОУ "СОШ им. Ю.А. Гагарина "</v>
      </c>
      <c r="E33" s="13">
        <f ca="1">IFERROR(__xludf.DUMMYFUNCTION("""COMPUTED_VALUE"""),5)</f>
        <v>5</v>
      </c>
      <c r="F33" s="13" t="str">
        <f ca="1">IFERROR(__xludf.DUMMYFUNCTION("""COMPUTED_VALUE"""),"Павлова Лариса Сергеевна")</f>
        <v>Павлова Лариса Сергеевна</v>
      </c>
      <c r="G33" s="91">
        <f ca="1">IFERROR(__xludf.DUMMYFUNCTION("""COMPUTED_VALUE"""),5)</f>
        <v>5</v>
      </c>
      <c r="H33" s="91">
        <f ca="1">IFERROR(__xludf.DUMMYFUNCTION("""COMPUTED_VALUE"""),6)</f>
        <v>6</v>
      </c>
      <c r="I33" s="91">
        <f ca="1">IFERROR(__xludf.DUMMYFUNCTION("""COMPUTED_VALUE"""),6)</f>
        <v>6</v>
      </c>
      <c r="J33" s="91">
        <f ca="1">IFERROR(__xludf.DUMMYFUNCTION("""COMPUTED_VALUE"""),13)</f>
        <v>13</v>
      </c>
      <c r="K33" s="91"/>
      <c r="L33" s="91"/>
      <c r="M33" s="91">
        <f ca="1">IFERROR(__xludf.DUMMYFUNCTION("""COMPUTED_VALUE"""),30)</f>
        <v>30</v>
      </c>
      <c r="N33" s="14"/>
      <c r="O33" s="91">
        <f t="shared" ca="1" si="0"/>
        <v>30</v>
      </c>
      <c r="P33" s="91">
        <v>27</v>
      </c>
      <c r="Q33" s="91" t="s">
        <v>83</v>
      </c>
    </row>
    <row r="34" spans="1:17" ht="12.75" x14ac:dyDescent="0.2">
      <c r="A34" s="12">
        <v>28</v>
      </c>
      <c r="B34" s="18" t="str">
        <f ca="1">IFERROR(__xludf.DUMMYFUNCTION("IMPORTRANGE(""https://docs.google.com/spreadsheets/d/16CWr8ky6L0i1S4UOLMYHizeHS6aZnIDEnQPyRJyTpcI/edit#gid=0"", ""Патриот!B63:O69"")"),"Пак Виктория Станиславовна")</f>
        <v>Пак Виктория Станиславовна</v>
      </c>
      <c r="C34" s="13"/>
      <c r="D34" s="2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4" s="13">
        <f ca="1">IFERROR(__xludf.DUMMYFUNCTION("""COMPUTED_VALUE"""),5)</f>
        <v>5</v>
      </c>
      <c r="F34" s="13" t="str">
        <f ca="1">IFERROR(__xludf.DUMMYFUNCTION("""COMPUTED_VALUE"""),"Яскевич Вера Алексеевна")</f>
        <v>Яскевич Вера Алексеевна</v>
      </c>
      <c r="G34" s="91">
        <f ca="1">IFERROR(__xludf.DUMMYFUNCTION("""COMPUTED_VALUE"""),5)</f>
        <v>5</v>
      </c>
      <c r="H34" s="91">
        <f ca="1">IFERROR(__xludf.DUMMYFUNCTION("""COMPUTED_VALUE"""),8)</f>
        <v>8</v>
      </c>
      <c r="I34" s="91">
        <f ca="1">IFERROR(__xludf.DUMMYFUNCTION("""COMPUTED_VALUE"""),5)</f>
        <v>5</v>
      </c>
      <c r="J34" s="91">
        <f ca="1">IFERROR(__xludf.DUMMYFUNCTION("""COMPUTED_VALUE"""),12)</f>
        <v>12</v>
      </c>
      <c r="K34" s="91"/>
      <c r="L34" s="91"/>
      <c r="M34" s="91">
        <f ca="1">IFERROR(__xludf.DUMMYFUNCTION("""COMPUTED_VALUE"""),30)</f>
        <v>30</v>
      </c>
      <c r="N34" s="14"/>
      <c r="O34" s="91">
        <f t="shared" ca="1" si="0"/>
        <v>30</v>
      </c>
      <c r="P34" s="91">
        <v>28</v>
      </c>
      <c r="Q34" s="91" t="s">
        <v>83</v>
      </c>
    </row>
    <row r="35" spans="1:17" ht="12.75" x14ac:dyDescent="0.2">
      <c r="A35" s="12">
        <v>29</v>
      </c>
      <c r="B35" s="13" t="str">
        <f ca="1">IFERROR(__xludf.DUMMYFUNCTION("""COMPUTED_VALUE"""),"Васильева Милана  Денисовна")</f>
        <v>Васильева Милана  Денисовна</v>
      </c>
      <c r="C35" s="13"/>
      <c r="D35" s="2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5" s="13">
        <f ca="1">IFERROR(__xludf.DUMMYFUNCTION("""COMPUTED_VALUE"""),5)</f>
        <v>5</v>
      </c>
      <c r="F35" s="13" t="str">
        <f ca="1">IFERROR(__xludf.DUMMYFUNCTION("""COMPUTED_VALUE"""),"Яскевич Вера Алексеевна")</f>
        <v>Яскевич Вера Алексеевна</v>
      </c>
      <c r="G35" s="91">
        <f ca="1">IFERROR(__xludf.DUMMYFUNCTION("""COMPUTED_VALUE"""),7)</f>
        <v>7</v>
      </c>
      <c r="H35" s="91">
        <f ca="1">IFERROR(__xludf.DUMMYFUNCTION("""COMPUTED_VALUE"""),6)</f>
        <v>6</v>
      </c>
      <c r="I35" s="91">
        <f ca="1">IFERROR(__xludf.DUMMYFUNCTION("""COMPUTED_VALUE"""),6)</f>
        <v>6</v>
      </c>
      <c r="J35" s="91">
        <f ca="1">IFERROR(__xludf.DUMMYFUNCTION("""COMPUTED_VALUE"""),11)</f>
        <v>11</v>
      </c>
      <c r="K35" s="91"/>
      <c r="L35" s="91"/>
      <c r="M35" s="91">
        <f ca="1">IFERROR(__xludf.DUMMYFUNCTION("""COMPUTED_VALUE"""),30)</f>
        <v>30</v>
      </c>
      <c r="N35" s="14"/>
      <c r="O35" s="91">
        <f t="shared" ca="1" si="0"/>
        <v>30</v>
      </c>
      <c r="P35" s="91">
        <v>29</v>
      </c>
      <c r="Q35" s="91" t="s">
        <v>83</v>
      </c>
    </row>
    <row r="36" spans="1:17" ht="12.75" x14ac:dyDescent="0.2">
      <c r="A36" s="12">
        <v>30</v>
      </c>
      <c r="B36" s="13" t="str">
        <f ca="1">IFERROR(__xludf.DUMMYFUNCTION("""COMPUTED_VALUE"""),"Назаров Никита  Александрович")</f>
        <v>Назаров Никита  Александрович</v>
      </c>
      <c r="C36" s="13"/>
      <c r="D36" s="2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6" s="13">
        <f ca="1">IFERROR(__xludf.DUMMYFUNCTION("""COMPUTED_VALUE"""),5)</f>
        <v>5</v>
      </c>
      <c r="F36" s="13" t="str">
        <f ca="1">IFERROR(__xludf.DUMMYFUNCTION("""COMPUTED_VALUE"""),"Яскевич Вера Алексеевна")</f>
        <v>Яскевич Вера Алексеевна</v>
      </c>
      <c r="G36" s="91">
        <f ca="1">IFERROR(__xludf.DUMMYFUNCTION("""COMPUTED_VALUE"""),6)</f>
        <v>6</v>
      </c>
      <c r="H36" s="91">
        <f ca="1">IFERROR(__xludf.DUMMYFUNCTION("""COMPUTED_VALUE"""),6)</f>
        <v>6</v>
      </c>
      <c r="I36" s="91">
        <f ca="1">IFERROR(__xludf.DUMMYFUNCTION("""COMPUTED_VALUE"""),8)</f>
        <v>8</v>
      </c>
      <c r="J36" s="91">
        <f ca="1">IFERROR(__xludf.DUMMYFUNCTION("""COMPUTED_VALUE"""),10)</f>
        <v>10</v>
      </c>
      <c r="K36" s="91"/>
      <c r="L36" s="91"/>
      <c r="M36" s="91">
        <f ca="1">IFERROR(__xludf.DUMMYFUNCTION("""COMPUTED_VALUE"""),30)</f>
        <v>30</v>
      </c>
      <c r="N36" s="14"/>
      <c r="O36" s="91">
        <f t="shared" ca="1" si="0"/>
        <v>30</v>
      </c>
      <c r="P36" s="91">
        <v>30</v>
      </c>
      <c r="Q36" s="91" t="s">
        <v>83</v>
      </c>
    </row>
    <row r="37" spans="1:17" ht="12.75" x14ac:dyDescent="0.2">
      <c r="A37" s="12">
        <v>31</v>
      </c>
      <c r="B37" s="18" t="str">
        <f ca="1">IFERROR(__xludf.DUMMYFUNCTION("IMPORTRANGE(""https://docs.google.com/spreadsheets/d/16CWr8ky6L0i1S4UOLMYHizeHS6aZnIDEnQPyRJyTpcI/edit#gid=0"", ""Нов. век!B3:O7"")"),"Назаров Артем Андреевич")</f>
        <v>Назаров Артем Андреевич</v>
      </c>
      <c r="C37" s="15"/>
      <c r="D37" s="25" t="str">
        <f ca="1">IFERROR(__xludf.DUMMYFUNCTION("""COMPUTED_VALUE"""),"МОУ ""СОШ им. Ю.А. Гагарина """)</f>
        <v>МОУ "СОШ им. Ю.А. Гагарина "</v>
      </c>
      <c r="E37" s="15">
        <f ca="1">IFERROR(__xludf.DUMMYFUNCTION("""COMPUTED_VALUE"""),5)</f>
        <v>5</v>
      </c>
      <c r="F37" s="15" t="str">
        <f ca="1">IFERROR(__xludf.DUMMYFUNCTION("""COMPUTED_VALUE"""),"Павлова Лариса Сергеевна")</f>
        <v>Павлова Лариса Сергеевна</v>
      </c>
      <c r="G37" s="76">
        <f ca="1">IFERROR(__xludf.DUMMYFUNCTION("""COMPUTED_VALUE"""),5)</f>
        <v>5</v>
      </c>
      <c r="H37" s="76">
        <f ca="1">IFERROR(__xludf.DUMMYFUNCTION("""COMPUTED_VALUE"""),6)</f>
        <v>6</v>
      </c>
      <c r="I37" s="76">
        <f ca="1">IFERROR(__xludf.DUMMYFUNCTION("""COMPUTED_VALUE"""),4)</f>
        <v>4</v>
      </c>
      <c r="J37" s="76">
        <f ca="1">IFERROR(__xludf.DUMMYFUNCTION("""COMPUTED_VALUE"""),14)</f>
        <v>14</v>
      </c>
      <c r="K37" s="76"/>
      <c r="L37" s="76"/>
      <c r="M37" s="76">
        <f ca="1">IFERROR(__xludf.DUMMYFUNCTION("""COMPUTED_VALUE"""),29)</f>
        <v>29</v>
      </c>
      <c r="N37" s="14"/>
      <c r="O37" s="91">
        <f t="shared" ca="1" si="0"/>
        <v>29</v>
      </c>
      <c r="P37" s="91">
        <v>31</v>
      </c>
      <c r="Q37" s="91" t="s">
        <v>83</v>
      </c>
    </row>
    <row r="38" spans="1:17" ht="12.75" x14ac:dyDescent="0.2">
      <c r="A38" s="12">
        <v>32</v>
      </c>
      <c r="B38" s="15" t="str">
        <f ca="1">IFERROR(__xludf.DUMMYFUNCTION("""COMPUTED_VALUE"""),"Коляченко Павел Викторович")</f>
        <v>Коляченко Павел Викторович</v>
      </c>
      <c r="C38" s="15"/>
      <c r="D38" s="25" t="str">
        <f ca="1">IFERROR(__xludf.DUMMYFUNCTION("""COMPUTED_VALUE"""),"МОУ ""СОШ №31""")</f>
        <v>МОУ "СОШ №31"</v>
      </c>
      <c r="E38" s="15">
        <f ca="1">IFERROR(__xludf.DUMMYFUNCTION("""COMPUTED_VALUE"""),5)</f>
        <v>5</v>
      </c>
      <c r="F38" s="15" t="str">
        <f ca="1">IFERROR(__xludf.DUMMYFUNCTION("""COMPUTED_VALUE"""),"Котлярова Евгения Владимировна")</f>
        <v>Котлярова Евгения Владимировна</v>
      </c>
      <c r="G38" s="76">
        <f ca="1">IFERROR(__xludf.DUMMYFUNCTION("""COMPUTED_VALUE"""),4)</f>
        <v>4</v>
      </c>
      <c r="H38" s="76">
        <f ca="1">IFERROR(__xludf.DUMMYFUNCTION("""COMPUTED_VALUE"""),4)</f>
        <v>4</v>
      </c>
      <c r="I38" s="76">
        <f ca="1">IFERROR(__xludf.DUMMYFUNCTION("""COMPUTED_VALUE"""),8)</f>
        <v>8</v>
      </c>
      <c r="J38" s="76">
        <v>13</v>
      </c>
      <c r="K38" s="76"/>
      <c r="L38" s="76"/>
      <c r="M38" s="76">
        <f ca="1">IFERROR(__xludf.DUMMYFUNCTION("""COMPUTED_VALUE"""),29)</f>
        <v>29</v>
      </c>
      <c r="N38" s="15"/>
      <c r="O38" s="91">
        <f t="shared" ca="1" si="0"/>
        <v>29</v>
      </c>
      <c r="P38" s="91">
        <v>32</v>
      </c>
      <c r="Q38" s="91" t="s">
        <v>83</v>
      </c>
    </row>
    <row r="39" spans="1:17" ht="12.75" x14ac:dyDescent="0.2">
      <c r="A39" s="12">
        <v>33</v>
      </c>
      <c r="B39" s="15" t="str">
        <f ca="1">IFERROR(__xludf.DUMMYFUNCTION("""COMPUTED_VALUE"""),"Игнатьев Захар Анатольевич")</f>
        <v>Игнатьев Захар Анатольевич</v>
      </c>
      <c r="C39" s="15"/>
      <c r="D39" s="25" t="str">
        <f ca="1">IFERROR(__xludf.DUMMYFUNCTION("""COMPUTED_VALUE"""),"МОУ ""СОШ №31""")</f>
        <v>МОУ "СОШ №31"</v>
      </c>
      <c r="E39" s="15">
        <f ca="1">IFERROR(__xludf.DUMMYFUNCTION("""COMPUTED_VALUE"""),5)</f>
        <v>5</v>
      </c>
      <c r="F39" s="15" t="str">
        <f ca="1">IFERROR(__xludf.DUMMYFUNCTION("""COMPUTED_VALUE"""),"Котлярова Евгения Владимировна")</f>
        <v>Котлярова Евгения Владимировна</v>
      </c>
      <c r="G39" s="76">
        <f ca="1">IFERROR(__xludf.DUMMYFUNCTION("""COMPUTED_VALUE"""),5)</f>
        <v>5</v>
      </c>
      <c r="H39" s="76">
        <f ca="1">IFERROR(__xludf.DUMMYFUNCTION("""COMPUTED_VALUE"""),6)</f>
        <v>6</v>
      </c>
      <c r="I39" s="76">
        <f ca="1">IFERROR(__xludf.DUMMYFUNCTION("""COMPUTED_VALUE"""),8)</f>
        <v>8</v>
      </c>
      <c r="J39" s="76">
        <v>10</v>
      </c>
      <c r="K39" s="76"/>
      <c r="L39" s="76"/>
      <c r="M39" s="76">
        <f ca="1">IFERROR(__xludf.DUMMYFUNCTION("""COMPUTED_VALUE"""),29)</f>
        <v>29</v>
      </c>
      <c r="N39" s="15"/>
      <c r="O39" s="91">
        <f t="shared" ca="1" si="0"/>
        <v>29</v>
      </c>
      <c r="P39" s="91">
        <v>33</v>
      </c>
      <c r="Q39" s="91" t="s">
        <v>83</v>
      </c>
    </row>
    <row r="40" spans="1:17" ht="12.75" x14ac:dyDescent="0.2">
      <c r="A40" s="12">
        <v>34</v>
      </c>
      <c r="B40" s="15" t="str">
        <f ca="1">IFERROR(__xludf.DUMMYFUNCTION("""COMPUTED_VALUE"""),"Оголев Алексей Артурович")</f>
        <v>Оголев Алексей Артурович</v>
      </c>
      <c r="C40" s="15"/>
      <c r="D40" s="25" t="str">
        <f ca="1">IFERROR(__xludf.DUMMYFUNCTION("""COMPUTED_VALUE"""),"МОУ ""СОШ ""Патриот"" с кадетскими классами""")</f>
        <v>МОУ "СОШ "Патриот" с кадетскими классами"</v>
      </c>
      <c r="E40" s="15">
        <f ca="1">IFERROR(__xludf.DUMMYFUNCTION("""COMPUTED_VALUE"""),5)</f>
        <v>5</v>
      </c>
      <c r="F40" s="15" t="str">
        <f ca="1">IFERROR(__xludf.DUMMYFUNCTION("""COMPUTED_VALUE"""),"Яскевич Вера Алексеевна")</f>
        <v>Яскевич Вера Алексеевна</v>
      </c>
      <c r="G40" s="76">
        <f ca="1">IFERROR(__xludf.DUMMYFUNCTION("""COMPUTED_VALUE"""),5)</f>
        <v>5</v>
      </c>
      <c r="H40" s="76">
        <f ca="1">IFERROR(__xludf.DUMMYFUNCTION("""COMPUTED_VALUE"""),6)</f>
        <v>6</v>
      </c>
      <c r="I40" s="76">
        <f ca="1">IFERROR(__xludf.DUMMYFUNCTION("""COMPUTED_VALUE"""),8)</f>
        <v>8</v>
      </c>
      <c r="J40" s="76">
        <f ca="1">IFERROR(__xludf.DUMMYFUNCTION("""COMPUTED_VALUE"""),10)</f>
        <v>10</v>
      </c>
      <c r="K40" s="76"/>
      <c r="L40" s="76"/>
      <c r="M40" s="76">
        <f ca="1">IFERROR(__xludf.DUMMYFUNCTION("""COMPUTED_VALUE"""),29)</f>
        <v>29</v>
      </c>
      <c r="N40" s="14"/>
      <c r="O40" s="91">
        <f t="shared" ca="1" si="0"/>
        <v>29</v>
      </c>
      <c r="P40" s="91">
        <v>34</v>
      </c>
      <c r="Q40" s="91" t="s">
        <v>83</v>
      </c>
    </row>
    <row r="41" spans="1:17" ht="12.75" x14ac:dyDescent="0.2">
      <c r="A41" s="12">
        <v>35</v>
      </c>
      <c r="B41" s="18" t="str">
        <f ca="1">IFERROR(__xludf.DUMMYFUNCTION("IMPORTRANGE(""https://docs.google.com/spreadsheets/d/16CWr8ky6L0i1S4UOLMYHizeHS6aZnIDEnQPyRJyTpcI/edit#gid=0"", ""СОШ п. им. К.Маркса!B3:O7"")"),"Глухова Анастасия Александровна")</f>
        <v>Глухова Анастасия Александровна</v>
      </c>
      <c r="C41" s="13"/>
      <c r="D41" s="24" t="str">
        <f ca="1">IFERROR(__xludf.DUMMYFUNCTION("""COMPUTED_VALUE"""),"МОУ ""СОШ п. им. К. Маркса""")</f>
        <v>МОУ "СОШ п. им. К. Маркса"</v>
      </c>
      <c r="E41" s="13">
        <f ca="1">IFERROR(__xludf.DUMMYFUNCTION("""COMPUTED_VALUE"""),5)</f>
        <v>5</v>
      </c>
      <c r="F41" s="13" t="str">
        <f ca="1">IFERROR(__xludf.DUMMYFUNCTION("""COMPUTED_VALUE"""),"Постнова Ольга Вениаминовна")</f>
        <v>Постнова Ольга Вениаминовна</v>
      </c>
      <c r="G41" s="91">
        <f ca="1">IFERROR(__xludf.DUMMYFUNCTION("""COMPUTED_VALUE"""),4)</f>
        <v>4</v>
      </c>
      <c r="H41" s="91">
        <f ca="1">IFERROR(__xludf.DUMMYFUNCTION("""COMPUTED_VALUE"""),6)</f>
        <v>6</v>
      </c>
      <c r="I41" s="91">
        <f ca="1">IFERROR(__xludf.DUMMYFUNCTION("""COMPUTED_VALUE"""),8)</f>
        <v>8</v>
      </c>
      <c r="J41" s="91">
        <v>11</v>
      </c>
      <c r="K41" s="91"/>
      <c r="L41" s="91"/>
      <c r="M41" s="91">
        <f ca="1">IFERROR(__xludf.DUMMYFUNCTION("""COMPUTED_VALUE"""),29)</f>
        <v>29</v>
      </c>
      <c r="N41" s="15"/>
      <c r="O41" s="91">
        <f t="shared" ca="1" si="0"/>
        <v>29</v>
      </c>
      <c r="P41" s="91">
        <v>35</v>
      </c>
      <c r="Q41" s="91" t="s">
        <v>83</v>
      </c>
    </row>
    <row r="42" spans="1:17" ht="12.75" x14ac:dyDescent="0.2">
      <c r="A42" s="12">
        <v>36</v>
      </c>
      <c r="B42" s="16" t="str">
        <f ca="1">IFERROR(__xludf.DUMMYFUNCTION("""COMPUTED_VALUE"""),"Никулин Максим Дмитриевич")</f>
        <v>Никулин Максим Дмитриевич</v>
      </c>
      <c r="C42" s="13"/>
      <c r="D42" s="24" t="str">
        <f ca="1">IFERROR(__xludf.DUMMYFUNCTION("""COMPUTED_VALUE"""),"МОУ ""СОШ п. им. К. Маркса""")</f>
        <v>МОУ "СОШ п. им. К. Маркса"</v>
      </c>
      <c r="E42" s="13">
        <f ca="1">IFERROR(__xludf.DUMMYFUNCTION("""COMPUTED_VALUE"""),5)</f>
        <v>5</v>
      </c>
      <c r="F42" s="13" t="str">
        <f ca="1">IFERROR(__xludf.DUMMYFUNCTION("""COMPUTED_VALUE"""),"Постнова Ольга Вениаминовна")</f>
        <v>Постнова Ольга Вениаминовна</v>
      </c>
      <c r="G42" s="91">
        <f ca="1">IFERROR(__xludf.DUMMYFUNCTION("""COMPUTED_VALUE"""),5)</f>
        <v>5</v>
      </c>
      <c r="H42" s="91">
        <f ca="1">IFERROR(__xludf.DUMMYFUNCTION("""COMPUTED_VALUE"""),6)</f>
        <v>6</v>
      </c>
      <c r="I42" s="91">
        <f ca="1">IFERROR(__xludf.DUMMYFUNCTION("""COMPUTED_VALUE"""),7)</f>
        <v>7</v>
      </c>
      <c r="J42" s="91">
        <v>11</v>
      </c>
      <c r="K42" s="91"/>
      <c r="L42" s="91"/>
      <c r="M42" s="91">
        <f ca="1">IFERROR(__xludf.DUMMYFUNCTION("""COMPUTED_VALUE"""),29)</f>
        <v>29</v>
      </c>
      <c r="N42" s="15"/>
      <c r="O42" s="91">
        <f t="shared" ca="1" si="0"/>
        <v>29</v>
      </c>
      <c r="P42" s="91">
        <v>36</v>
      </c>
      <c r="Q42" s="91" t="s">
        <v>83</v>
      </c>
    </row>
    <row r="43" spans="1:17" ht="12.75" x14ac:dyDescent="0.2">
      <c r="A43" s="12">
        <v>37</v>
      </c>
      <c r="B43" s="13" t="str">
        <f ca="1">IFERROR(__xludf.DUMMYFUNCTION("""COMPUTED_VALUE"""),"Давыдова Диляра Илдаровна")</f>
        <v>Давыдова Диляра Илдаровна</v>
      </c>
      <c r="C43" s="13"/>
      <c r="D43" s="24" t="str">
        <f ca="1">IFERROR(__xludf.DUMMYFUNCTION("""COMPUTED_VALUE"""),"МОУ ""СОШ им. Ю.А. Гагарина """)</f>
        <v>МОУ "СОШ им. Ю.А. Гагарина "</v>
      </c>
      <c r="E43" s="13">
        <f ca="1">IFERROR(__xludf.DUMMYFUNCTION("""COMPUTED_VALUE"""),5)</f>
        <v>5</v>
      </c>
      <c r="F43" s="13" t="str">
        <f ca="1">IFERROR(__xludf.DUMMYFUNCTION("""COMPUTED_VALUE"""),"Павлова Лариса Сергеевна")</f>
        <v>Павлова Лариса Сергеевна</v>
      </c>
      <c r="G43" s="91">
        <f ca="1">IFERROR(__xludf.DUMMYFUNCTION("""COMPUTED_VALUE"""),3)</f>
        <v>3</v>
      </c>
      <c r="H43" s="91">
        <f ca="1">IFERROR(__xludf.DUMMYFUNCTION("""COMPUTED_VALUE"""),6)</f>
        <v>6</v>
      </c>
      <c r="I43" s="91">
        <f ca="1">IFERROR(__xludf.DUMMYFUNCTION("""COMPUTED_VALUE"""),7)</f>
        <v>7</v>
      </c>
      <c r="J43" s="91">
        <f ca="1">IFERROR(__xludf.DUMMYFUNCTION("""COMPUTED_VALUE"""),13)</f>
        <v>13</v>
      </c>
      <c r="K43" s="91"/>
      <c r="L43" s="91"/>
      <c r="M43" s="91">
        <f ca="1">IFERROR(__xludf.DUMMYFUNCTION("""COMPUTED_VALUE"""),29)</f>
        <v>29</v>
      </c>
      <c r="N43" s="14"/>
      <c r="O43" s="91">
        <f t="shared" ca="1" si="0"/>
        <v>29</v>
      </c>
      <c r="P43" s="91">
        <v>37</v>
      </c>
      <c r="Q43" s="91" t="s">
        <v>83</v>
      </c>
    </row>
    <row r="44" spans="1:17" ht="12.75" x14ac:dyDescent="0.2">
      <c r="A44" s="12">
        <v>38</v>
      </c>
      <c r="B44" s="13" t="str">
        <f ca="1">IFERROR(__xludf.DUMMYFUNCTION("""COMPUTED_VALUE"""),"Курбатов Антон Игоревич")</f>
        <v>Курбатов Антон Игоревич</v>
      </c>
      <c r="C44" s="13"/>
      <c r="D44" s="24" t="str">
        <f ca="1">IFERROR(__xludf.DUMMYFUNCTION("""COMPUTED_VALUE"""),"МОУ ""СОШ им. Ю.А. Гагарина """)</f>
        <v>МОУ "СОШ им. Ю.А. Гагарина "</v>
      </c>
      <c r="E44" s="13">
        <f ca="1">IFERROR(__xludf.DUMMYFUNCTION("""COMPUTED_VALUE"""),5)</f>
        <v>5</v>
      </c>
      <c r="F44" s="13" t="str">
        <f ca="1">IFERROR(__xludf.DUMMYFUNCTION("""COMPUTED_VALUE"""),"Павлова Лариса Сергеевна")</f>
        <v>Павлова Лариса Сергеевна</v>
      </c>
      <c r="G44" s="91">
        <f ca="1">IFERROR(__xludf.DUMMYFUNCTION("""COMPUTED_VALUE"""),4)</f>
        <v>4</v>
      </c>
      <c r="H44" s="91">
        <f ca="1">IFERROR(__xludf.DUMMYFUNCTION("""COMPUTED_VALUE"""),8)</f>
        <v>8</v>
      </c>
      <c r="I44" s="91">
        <f ca="1">IFERROR(__xludf.DUMMYFUNCTION("""COMPUTED_VALUE"""),7)</f>
        <v>7</v>
      </c>
      <c r="J44" s="91">
        <f ca="1">IFERROR(__xludf.DUMMYFUNCTION("""COMPUTED_VALUE"""),10)</f>
        <v>10</v>
      </c>
      <c r="K44" s="91"/>
      <c r="L44" s="91"/>
      <c r="M44" s="91">
        <f ca="1">IFERROR(__xludf.DUMMYFUNCTION("""COMPUTED_VALUE"""),29)</f>
        <v>29</v>
      </c>
      <c r="N44" s="14"/>
      <c r="O44" s="91">
        <f t="shared" ca="1" si="0"/>
        <v>29</v>
      </c>
      <c r="P44" s="91">
        <v>38</v>
      </c>
      <c r="Q44" s="91" t="s">
        <v>83</v>
      </c>
    </row>
    <row r="45" spans="1:17" ht="12.75" x14ac:dyDescent="0.2">
      <c r="A45" s="12">
        <v>39</v>
      </c>
      <c r="B45" s="15" t="str">
        <f ca="1">IFERROR(__xludf.DUMMYFUNCTION("""COMPUTED_VALUE"""),"Калашников Михаил Алексеевич")</f>
        <v>Калашников Михаил Алексеевич</v>
      </c>
      <c r="C45" s="15"/>
      <c r="D45" s="25" t="str">
        <f ca="1">IFERROR(__xludf.DUMMYFUNCTION("""COMPUTED_VALUE"""),"МОУ ""СОШ им. Ю.А. Гагарина """)</f>
        <v>МОУ "СОШ им. Ю.А. Гагарина "</v>
      </c>
      <c r="E45" s="15">
        <f ca="1">IFERROR(__xludf.DUMMYFUNCTION("""COMPUTED_VALUE"""),5)</f>
        <v>5</v>
      </c>
      <c r="F45" s="15" t="str">
        <f ca="1">IFERROR(__xludf.DUMMYFUNCTION("""COMPUTED_VALUE"""),"Павлова Лариса Сергеевна")</f>
        <v>Павлова Лариса Сергеевна</v>
      </c>
      <c r="G45" s="76">
        <f ca="1">IFERROR(__xludf.DUMMYFUNCTION("""COMPUTED_VALUE"""),5)</f>
        <v>5</v>
      </c>
      <c r="H45" s="76">
        <f ca="1">IFERROR(__xludf.DUMMYFUNCTION("""COMPUTED_VALUE"""),6)</f>
        <v>6</v>
      </c>
      <c r="I45" s="76">
        <f ca="1">IFERROR(__xludf.DUMMYFUNCTION("""COMPUTED_VALUE"""),5)</f>
        <v>5</v>
      </c>
      <c r="J45" s="76">
        <f ca="1">IFERROR(__xludf.DUMMYFUNCTION("""COMPUTED_VALUE"""),12)</f>
        <v>12</v>
      </c>
      <c r="K45" s="76"/>
      <c r="L45" s="76"/>
      <c r="M45" s="76">
        <f ca="1">IFERROR(__xludf.DUMMYFUNCTION("""COMPUTED_VALUE"""),28)</f>
        <v>28</v>
      </c>
      <c r="N45" s="14"/>
      <c r="O45" s="91">
        <f t="shared" ca="1" si="0"/>
        <v>28</v>
      </c>
      <c r="P45" s="91">
        <v>39</v>
      </c>
      <c r="Q45" s="91" t="s">
        <v>83</v>
      </c>
    </row>
    <row r="46" spans="1:17" ht="12.75" x14ac:dyDescent="0.2">
      <c r="A46" s="12">
        <v>40</v>
      </c>
      <c r="B46" s="15" t="str">
        <f ca="1">IFERROR(__xludf.DUMMYFUNCTION("""COMPUTED_VALUE"""),"Огренич Софья Дмитриевна")</f>
        <v>Огренич Софья Дмитриевна</v>
      </c>
      <c r="C46" s="15"/>
      <c r="D46" s="25" t="str">
        <f ca="1">IFERROR(__xludf.DUMMYFUNCTION("""COMPUTED_VALUE"""),"МОУ ""СОШ №24""")</f>
        <v>МОУ "СОШ №24"</v>
      </c>
      <c r="E46" s="15">
        <f ca="1">IFERROR(__xludf.DUMMYFUNCTION("""COMPUTED_VALUE"""),5)</f>
        <v>5</v>
      </c>
      <c r="F46" s="15" t="str">
        <f ca="1">IFERROR(__xludf.DUMMYFUNCTION("""COMPUTED_VALUE"""),"Моисеева Татьяна Владимировна")</f>
        <v>Моисеева Татьяна Владимировна</v>
      </c>
      <c r="G46" s="76">
        <f ca="1">IFERROR(__xludf.DUMMYFUNCTION("""COMPUTED_VALUE"""),5)</f>
        <v>5</v>
      </c>
      <c r="H46" s="76">
        <f ca="1">IFERROR(__xludf.DUMMYFUNCTION("""COMPUTED_VALUE"""),10)</f>
        <v>10</v>
      </c>
      <c r="I46" s="76">
        <f ca="1">IFERROR(__xludf.DUMMYFUNCTION("""COMPUTED_VALUE"""),5)</f>
        <v>5</v>
      </c>
      <c r="J46" s="76">
        <f ca="1">IFERROR(__xludf.DUMMYFUNCTION("""COMPUTED_VALUE"""),8)</f>
        <v>8</v>
      </c>
      <c r="K46" s="76"/>
      <c r="L46" s="76"/>
      <c r="M46" s="76">
        <f ca="1">IFERROR(__xludf.DUMMYFUNCTION("""COMPUTED_VALUE"""),28)</f>
        <v>28</v>
      </c>
      <c r="N46" s="14"/>
      <c r="O46" s="91">
        <f t="shared" ca="1" si="0"/>
        <v>28</v>
      </c>
      <c r="P46" s="91">
        <v>40</v>
      </c>
      <c r="Q46" s="91" t="s">
        <v>83</v>
      </c>
    </row>
    <row r="47" spans="1:17" ht="12.75" x14ac:dyDescent="0.2">
      <c r="A47" s="12">
        <v>41</v>
      </c>
      <c r="B47" s="19" t="str">
        <f ca="1">IFERROR(__xludf.DUMMYFUNCTION("IMPORTRANGE(""https://docs.google.com/spreadsheets/d/16CWr8ky6L0i1S4UOLMYHizeHS6aZnIDEnQPyRJyTpcI/edit#gid=0"", ""МЭЛ!B3:O7"")"),"Жаворонкина Мария Александрована")</f>
        <v>Жаворонкина Мария Александрована</v>
      </c>
      <c r="C47" s="15"/>
      <c r="D47" s="25" t="str">
        <f ca="1">IFERROR(__xludf.DUMMYFUNCTION("""COMPUTED_VALUE"""),"МОУ ""МЭЛ им. Шнитке А.Г.""")</f>
        <v>МОУ "МЭЛ им. Шнитке А.Г."</v>
      </c>
      <c r="E47" s="15">
        <f ca="1">IFERROR(__xludf.DUMMYFUNCTION("""COMPUTED_VALUE"""),5)</f>
        <v>5</v>
      </c>
      <c r="F47" s="15" t="str">
        <f ca="1">IFERROR(__xludf.DUMMYFUNCTION("""COMPUTED_VALUE"""),"Мотавкина Светлана Сергеевна")</f>
        <v>Мотавкина Светлана Сергеевна</v>
      </c>
      <c r="G47" s="76">
        <f ca="1">IFERROR(__xludf.DUMMYFUNCTION("""COMPUTED_VALUE"""),6)</f>
        <v>6</v>
      </c>
      <c r="H47" s="76">
        <f ca="1">IFERROR(__xludf.DUMMYFUNCTION("""COMPUTED_VALUE"""),8)</f>
        <v>8</v>
      </c>
      <c r="I47" s="76">
        <f ca="1">IFERROR(__xludf.DUMMYFUNCTION("""COMPUTED_VALUE"""),4)</f>
        <v>4</v>
      </c>
      <c r="J47" s="76">
        <v>10</v>
      </c>
      <c r="K47" s="76"/>
      <c r="L47" s="76"/>
      <c r="M47" s="76">
        <f ca="1">IFERROR(__xludf.DUMMYFUNCTION("""COMPUTED_VALUE"""),28)</f>
        <v>28</v>
      </c>
      <c r="N47" s="15"/>
      <c r="O47" s="91">
        <f t="shared" ca="1" si="0"/>
        <v>28</v>
      </c>
      <c r="P47" s="91">
        <v>41</v>
      </c>
      <c r="Q47" s="91" t="s">
        <v>83</v>
      </c>
    </row>
    <row r="48" spans="1:17" ht="12.75" x14ac:dyDescent="0.2">
      <c r="A48" s="12">
        <v>42</v>
      </c>
      <c r="B48" s="15" t="str">
        <f ca="1">IFERROR(__xludf.DUMMYFUNCTION("""COMPUTED_VALUE"""),"Молоткова София Сергеевна")</f>
        <v>Молоткова София Сергеевна</v>
      </c>
      <c r="C48" s="15"/>
      <c r="D48" s="25" t="str">
        <f ca="1">IFERROR(__xludf.DUMMYFUNCTION("""COMPUTED_VALUE"""),"МОУ ""МЭЛ им. Шнитке А.Г.""")</f>
        <v>МОУ "МЭЛ им. Шнитке А.Г."</v>
      </c>
      <c r="E48" s="15">
        <f ca="1">IFERROR(__xludf.DUMMYFUNCTION("""COMPUTED_VALUE"""),5)</f>
        <v>5</v>
      </c>
      <c r="F48" s="15" t="str">
        <f ca="1">IFERROR(__xludf.DUMMYFUNCTION("""COMPUTED_VALUE"""),"Мотавкина Светлана Сергеевна")</f>
        <v>Мотавкина Светлана Сергеевна</v>
      </c>
      <c r="G48" s="76">
        <f ca="1">IFERROR(__xludf.DUMMYFUNCTION("""COMPUTED_VALUE"""),6)</f>
        <v>6</v>
      </c>
      <c r="H48" s="76">
        <f ca="1">IFERROR(__xludf.DUMMYFUNCTION("""COMPUTED_VALUE"""),4)</f>
        <v>4</v>
      </c>
      <c r="I48" s="76">
        <f ca="1">IFERROR(__xludf.DUMMYFUNCTION("""COMPUTED_VALUE"""),5)</f>
        <v>5</v>
      </c>
      <c r="J48" s="76">
        <v>13</v>
      </c>
      <c r="K48" s="76"/>
      <c r="L48" s="76"/>
      <c r="M48" s="76">
        <f ca="1">IFERROR(__xludf.DUMMYFUNCTION("""COMPUTED_VALUE"""),28)</f>
        <v>28</v>
      </c>
      <c r="N48" s="15"/>
      <c r="O48" s="91">
        <f t="shared" ca="1" si="0"/>
        <v>28</v>
      </c>
      <c r="P48" s="91">
        <v>42</v>
      </c>
      <c r="Q48" s="91" t="s">
        <v>83</v>
      </c>
    </row>
    <row r="49" spans="1:17" ht="12.75" x14ac:dyDescent="0.2">
      <c r="A49" s="12">
        <v>43</v>
      </c>
      <c r="B49" s="13" t="str">
        <f ca="1">IFERROR(__xludf.DUMMYFUNCTION("""COMPUTED_VALUE"""),"Паненков Кирилл Сергеевич")</f>
        <v>Паненков Кирилл Сергеевич</v>
      </c>
      <c r="C49" s="13"/>
      <c r="D49" s="24" t="str">
        <f ca="1">IFERROR(__xludf.DUMMYFUNCTION("""COMPUTED_VALUE"""),"МОУ ""СОШ п. им. К. Маркса""")</f>
        <v>МОУ "СОШ п. им. К. Маркса"</v>
      </c>
      <c r="E49" s="13">
        <f ca="1">IFERROR(__xludf.DUMMYFUNCTION("""COMPUTED_VALUE"""),5)</f>
        <v>5</v>
      </c>
      <c r="F49" s="13" t="str">
        <f ca="1">IFERROR(__xludf.DUMMYFUNCTION("""COMPUTED_VALUE"""),"Постнова Ольга Вениаминовна")</f>
        <v>Постнова Ольга Вениаминовна</v>
      </c>
      <c r="G49" s="91">
        <f ca="1">IFERROR(__xludf.DUMMYFUNCTION("""COMPUTED_VALUE"""),4)</f>
        <v>4</v>
      </c>
      <c r="H49" s="91">
        <f ca="1">IFERROR(__xludf.DUMMYFUNCTION("""COMPUTED_VALUE"""),8)</f>
        <v>8</v>
      </c>
      <c r="I49" s="91">
        <f ca="1">IFERROR(__xludf.DUMMYFUNCTION("""COMPUTED_VALUE"""),6)</f>
        <v>6</v>
      </c>
      <c r="J49" s="91">
        <v>10</v>
      </c>
      <c r="K49" s="91"/>
      <c r="L49" s="91"/>
      <c r="M49" s="91">
        <f ca="1">IFERROR(__xludf.DUMMYFUNCTION("""COMPUTED_VALUE"""),28)</f>
        <v>28</v>
      </c>
      <c r="N49" s="15"/>
      <c r="O49" s="91">
        <f t="shared" ca="1" si="0"/>
        <v>28</v>
      </c>
      <c r="P49" s="91">
        <v>43</v>
      </c>
      <c r="Q49" s="91" t="s">
        <v>83</v>
      </c>
    </row>
    <row r="50" spans="1:17" ht="12.75" x14ac:dyDescent="0.2">
      <c r="A50" s="12">
        <v>44</v>
      </c>
      <c r="B50" s="13" t="str">
        <f ca="1">IFERROR(__xludf.DUMMYFUNCTION("""COMPUTED_VALUE"""),"Паненков Кирилл Сергеевич")</f>
        <v>Паненков Кирилл Сергеевич</v>
      </c>
      <c r="C50" s="13"/>
      <c r="D50" s="24" t="str">
        <f ca="1">IFERROR(__xludf.DUMMYFUNCTION("""COMPUTED_VALUE"""),"МОУ ""СОШ п. им. К. Маркса""")</f>
        <v>МОУ "СОШ п. им. К. Маркса"</v>
      </c>
      <c r="E50" s="13">
        <f ca="1">IFERROR(__xludf.DUMMYFUNCTION("""COMPUTED_VALUE"""),5)</f>
        <v>5</v>
      </c>
      <c r="F50" s="13" t="str">
        <f ca="1">IFERROR(__xludf.DUMMYFUNCTION("""COMPUTED_VALUE"""),"Постнова Ольга Вениаминовна")</f>
        <v>Постнова Ольга Вениаминовна</v>
      </c>
      <c r="G50" s="91">
        <f ca="1">IFERROR(__xludf.DUMMYFUNCTION("""COMPUTED_VALUE"""),4)</f>
        <v>4</v>
      </c>
      <c r="H50" s="91">
        <f ca="1">IFERROR(__xludf.DUMMYFUNCTION("""COMPUTED_VALUE"""),8)</f>
        <v>8</v>
      </c>
      <c r="I50" s="91">
        <f ca="1">IFERROR(__xludf.DUMMYFUNCTION("""COMPUTED_VALUE"""),6)</f>
        <v>6</v>
      </c>
      <c r="J50" s="91">
        <v>10</v>
      </c>
      <c r="K50" s="91"/>
      <c r="L50" s="91"/>
      <c r="M50" s="91">
        <f ca="1">IFERROR(__xludf.DUMMYFUNCTION("""COMPUTED_VALUE"""),28)</f>
        <v>28</v>
      </c>
      <c r="N50" s="15"/>
      <c r="O50" s="91">
        <f t="shared" ca="1" si="0"/>
        <v>28</v>
      </c>
      <c r="P50" s="91">
        <v>44</v>
      </c>
      <c r="Q50" s="91" t="s">
        <v>83</v>
      </c>
    </row>
    <row r="51" spans="1:17" ht="12.75" x14ac:dyDescent="0.2">
      <c r="A51" s="12">
        <v>45</v>
      </c>
      <c r="B51" s="13" t="str">
        <f ca="1">IFERROR(__xludf.DUMMYFUNCTION("""COMPUTED_VALUE"""),"Пашкина Дарья Олеговна")</f>
        <v>Пашкина Дарья Олеговна</v>
      </c>
      <c r="C51" s="13"/>
      <c r="D51" s="24" t="str">
        <f ca="1">IFERROR(__xludf.DUMMYFUNCTION("""COMPUTED_VALUE"""),"МОУ ""СОШ им. Ю.А. Гагарина """)</f>
        <v>МОУ "СОШ им. Ю.А. Гагарина "</v>
      </c>
      <c r="E51" s="13">
        <f ca="1">IFERROR(__xludf.DUMMYFUNCTION("""COMPUTED_VALUE"""),5)</f>
        <v>5</v>
      </c>
      <c r="F51" s="13" t="str">
        <f ca="1">IFERROR(__xludf.DUMMYFUNCTION("""COMPUTED_VALUE"""),"Павлова Лариса Сергеевна")</f>
        <v>Павлова Лариса Сергеевна</v>
      </c>
      <c r="G51" s="91">
        <f ca="1">IFERROR(__xludf.DUMMYFUNCTION("""COMPUTED_VALUE"""),6)</f>
        <v>6</v>
      </c>
      <c r="H51" s="91">
        <f ca="1">IFERROR(__xludf.DUMMYFUNCTION("""COMPUTED_VALUE"""),8)</f>
        <v>8</v>
      </c>
      <c r="I51" s="91">
        <f ca="1">IFERROR(__xludf.DUMMYFUNCTION("""COMPUTED_VALUE"""),4)</f>
        <v>4</v>
      </c>
      <c r="J51" s="91">
        <f ca="1">IFERROR(__xludf.DUMMYFUNCTION("""COMPUTED_VALUE"""),10)</f>
        <v>10</v>
      </c>
      <c r="K51" s="91"/>
      <c r="L51" s="91"/>
      <c r="M51" s="91">
        <f ca="1">IFERROR(__xludf.DUMMYFUNCTION("""COMPUTED_VALUE"""),28)</f>
        <v>28</v>
      </c>
      <c r="N51" s="14"/>
      <c r="O51" s="91">
        <f t="shared" ca="1" si="0"/>
        <v>28</v>
      </c>
      <c r="P51" s="91">
        <v>45</v>
      </c>
      <c r="Q51" s="91" t="s">
        <v>83</v>
      </c>
    </row>
    <row r="52" spans="1:17" ht="12.75" x14ac:dyDescent="0.2">
      <c r="A52" s="12">
        <v>46</v>
      </c>
      <c r="B52" s="17" t="str">
        <f ca="1">IFERROR(__xludf.DUMMYFUNCTION("IMPORTRANGE(""https://docs.google.com/spreadsheets/d/16CWr8ky6L0i1S4UOLMYHizeHS6aZnIDEnQPyRJyTpcI/edit#gid=0"", ""СОШ №31!B3:O7"")"),"Тулемесов Арслан Акпарович")</f>
        <v>Тулемесов Арслан Акпарович</v>
      </c>
      <c r="C52" s="15"/>
      <c r="D52" s="25" t="str">
        <f ca="1">IFERROR(__xludf.DUMMYFUNCTION("""COMPUTED_VALUE"""),"МОУ ""СОШ №31""")</f>
        <v>МОУ "СОШ №31"</v>
      </c>
      <c r="E52" s="15">
        <f ca="1">IFERROR(__xludf.DUMMYFUNCTION("""COMPUTED_VALUE"""),5)</f>
        <v>5</v>
      </c>
      <c r="F52" s="15" t="str">
        <f ca="1">IFERROR(__xludf.DUMMYFUNCTION("""COMPUTED_VALUE"""),"Котлярова Евгения Владимировна")</f>
        <v>Котлярова Евгения Владимировна</v>
      </c>
      <c r="G52" s="76">
        <f ca="1">IFERROR(__xludf.DUMMYFUNCTION("""COMPUTED_VALUE"""),4)</f>
        <v>4</v>
      </c>
      <c r="H52" s="76">
        <f ca="1">IFERROR(__xludf.DUMMYFUNCTION("""COMPUTED_VALUE"""),6)</f>
        <v>6</v>
      </c>
      <c r="I52" s="76">
        <f ca="1">IFERROR(__xludf.DUMMYFUNCTION("""COMPUTED_VALUE"""),8)</f>
        <v>8</v>
      </c>
      <c r="J52" s="76">
        <v>9</v>
      </c>
      <c r="K52" s="76"/>
      <c r="L52" s="76"/>
      <c r="M52" s="76">
        <f ca="1">IFERROR(__xludf.DUMMYFUNCTION("""COMPUTED_VALUE"""),27)</f>
        <v>27</v>
      </c>
      <c r="N52" s="15"/>
      <c r="O52" s="91">
        <f t="shared" ca="1" si="0"/>
        <v>27</v>
      </c>
      <c r="P52" s="91">
        <v>46</v>
      </c>
      <c r="Q52" s="91" t="s">
        <v>83</v>
      </c>
    </row>
    <row r="53" spans="1:17" ht="12.75" x14ac:dyDescent="0.2">
      <c r="A53" s="12">
        <v>47</v>
      </c>
      <c r="B53" s="13" t="str">
        <f ca="1">IFERROR(__xludf.DUMMYFUNCTION("""COMPUTED_VALUE"""),"Николаев Николай Русланович")</f>
        <v>Николаев Николай Русланович</v>
      </c>
      <c r="C53" s="13"/>
      <c r="D53" s="24" t="str">
        <f ca="1">IFERROR(__xludf.DUMMYFUNCTION("""COMPUTED_VALUE"""),"МОУ ""СОШ с. Березовка""")</f>
        <v>МОУ "СОШ с. Березовка"</v>
      </c>
      <c r="E53" s="13">
        <f ca="1">IFERROR(__xludf.DUMMYFUNCTION("""COMPUTED_VALUE"""),5)</f>
        <v>5</v>
      </c>
      <c r="F53" s="13" t="str">
        <f ca="1">IFERROR(__xludf.DUMMYFUNCTION("""COMPUTED_VALUE"""),"Турсумбек Нагима Айгалиевна")</f>
        <v>Турсумбек Нагима Айгалиевна</v>
      </c>
      <c r="G53" s="91">
        <f ca="1">IFERROR(__xludf.DUMMYFUNCTION("""COMPUTED_VALUE"""),2)</f>
        <v>2</v>
      </c>
      <c r="H53" s="91">
        <f ca="1">IFERROR(__xludf.DUMMYFUNCTION("""COMPUTED_VALUE"""),8)</f>
        <v>8</v>
      </c>
      <c r="I53" s="91">
        <f ca="1">IFERROR(__xludf.DUMMYFUNCTION("""COMPUTED_VALUE"""),7)</f>
        <v>7</v>
      </c>
      <c r="J53" s="91">
        <f ca="1">IFERROR(__xludf.DUMMYFUNCTION("""COMPUTED_VALUE"""),10)</f>
        <v>10</v>
      </c>
      <c r="K53" s="91"/>
      <c r="L53" s="91"/>
      <c r="M53" s="91">
        <f ca="1">IFERROR(__xludf.DUMMYFUNCTION("""COMPUTED_VALUE"""),27)</f>
        <v>27</v>
      </c>
      <c r="N53" s="14"/>
      <c r="O53" s="91">
        <f t="shared" ca="1" si="0"/>
        <v>27</v>
      </c>
      <c r="P53" s="91">
        <v>47</v>
      </c>
      <c r="Q53" s="91" t="s">
        <v>83</v>
      </c>
    </row>
    <row r="54" spans="1:17" ht="12.75" x14ac:dyDescent="0.2">
      <c r="A54" s="12">
        <v>48</v>
      </c>
      <c r="B54" s="13" t="str">
        <f ca="1">IFERROR(__xludf.DUMMYFUNCTION("""COMPUTED_VALUE"""),"Пяк Александр Андреевич")</f>
        <v>Пяк Александр Андреевич</v>
      </c>
      <c r="C54" s="13"/>
      <c r="D54" s="24" t="str">
        <f ca="1">IFERROR(__xludf.DUMMYFUNCTION("""COMPUTED_VALUE"""),"МОУ ""СОШ с. Березовка""")</f>
        <v>МОУ "СОШ с. Березовка"</v>
      </c>
      <c r="E54" s="13">
        <f ca="1">IFERROR(__xludf.DUMMYFUNCTION("""COMPUTED_VALUE"""),5)</f>
        <v>5</v>
      </c>
      <c r="F54" s="13" t="str">
        <f ca="1">IFERROR(__xludf.DUMMYFUNCTION("""COMPUTED_VALUE"""),"Турсумбек Нагима Айгалиевна ")</f>
        <v xml:space="preserve">Турсумбек Нагима Айгалиевна </v>
      </c>
      <c r="G54" s="91">
        <f ca="1">IFERROR(__xludf.DUMMYFUNCTION("""COMPUTED_VALUE"""),2)</f>
        <v>2</v>
      </c>
      <c r="H54" s="91">
        <f ca="1">IFERROR(__xludf.DUMMYFUNCTION("""COMPUTED_VALUE"""),6)</f>
        <v>6</v>
      </c>
      <c r="I54" s="91">
        <f ca="1">IFERROR(__xludf.DUMMYFUNCTION("""COMPUTED_VALUE"""),7)</f>
        <v>7</v>
      </c>
      <c r="J54" s="91">
        <f ca="1">IFERROR(__xludf.DUMMYFUNCTION("""COMPUTED_VALUE"""),12)</f>
        <v>12</v>
      </c>
      <c r="K54" s="91"/>
      <c r="L54" s="91"/>
      <c r="M54" s="91">
        <f ca="1">IFERROR(__xludf.DUMMYFUNCTION("""COMPUTED_VALUE"""),27)</f>
        <v>27</v>
      </c>
      <c r="N54" s="14"/>
      <c r="O54" s="91">
        <f t="shared" ca="1" si="0"/>
        <v>27</v>
      </c>
      <c r="P54" s="91">
        <v>48</v>
      </c>
      <c r="Q54" s="91" t="s">
        <v>83</v>
      </c>
    </row>
    <row r="55" spans="1:17" ht="12.75" x14ac:dyDescent="0.2">
      <c r="A55" s="12">
        <v>49</v>
      </c>
      <c r="B55" s="13" t="str">
        <f ca="1">IFERROR(__xludf.DUMMYFUNCTION("""COMPUTED_VALUE"""),"Горбачёва Мария Михайловна")</f>
        <v>Горбачёва Мария Михайловна</v>
      </c>
      <c r="C55" s="13"/>
      <c r="D55" s="24" t="str">
        <f ca="1">IFERROR(__xludf.DUMMYFUNCTION("""COMPUTED_VALUE"""),"МОУ ""СОШ с. Шумейка""")</f>
        <v>МОУ "СОШ с. Шумейка"</v>
      </c>
      <c r="E55" s="13">
        <f ca="1">IFERROR(__xludf.DUMMYFUNCTION("""COMPUTED_VALUE"""),5)</f>
        <v>5</v>
      </c>
      <c r="F55" s="13" t="str">
        <f ca="1">IFERROR(__xludf.DUMMYFUNCTION("""COMPUTED_VALUE"""),"Полякова Наталия Викторовна")</f>
        <v>Полякова Наталия Викторовна</v>
      </c>
      <c r="G55" s="91">
        <f ca="1">IFERROR(__xludf.DUMMYFUNCTION("""COMPUTED_VALUE"""),5)</f>
        <v>5</v>
      </c>
      <c r="H55" s="91">
        <f ca="1">IFERROR(__xludf.DUMMYFUNCTION("""COMPUTED_VALUE"""),6)</f>
        <v>6</v>
      </c>
      <c r="I55" s="91">
        <f ca="1">IFERROR(__xludf.DUMMYFUNCTION("""COMPUTED_VALUE"""),6)</f>
        <v>6</v>
      </c>
      <c r="J55" s="91">
        <v>10</v>
      </c>
      <c r="K55" s="91"/>
      <c r="L55" s="91"/>
      <c r="M55" s="91">
        <f ca="1">IFERROR(__xludf.DUMMYFUNCTION("""COMPUTED_VALUE"""),27)</f>
        <v>27</v>
      </c>
      <c r="N55" s="15"/>
      <c r="O55" s="91">
        <f t="shared" ca="1" si="0"/>
        <v>27</v>
      </c>
      <c r="P55" s="91">
        <v>49</v>
      </c>
      <c r="Q55" s="91" t="s">
        <v>83</v>
      </c>
    </row>
    <row r="56" spans="1:17" ht="12.75" x14ac:dyDescent="0.2">
      <c r="A56" s="12">
        <v>50</v>
      </c>
      <c r="B56" s="13" t="str">
        <f ca="1">IFERROR(__xludf.DUMMYFUNCTION("""COMPUTED_VALUE"""),"Шерро Вероника Николаевна")</f>
        <v>Шерро Вероника Николаевна</v>
      </c>
      <c r="C56" s="13"/>
      <c r="D56" s="24" t="str">
        <f ca="1">IFERROR(__xludf.DUMMYFUNCTION("""COMPUTED_VALUE"""),"МОУ ""ООШ с. Старицкое")</f>
        <v>МОУ "ООШ с. Старицкое</v>
      </c>
      <c r="E56" s="13">
        <f ca="1">IFERROR(__xludf.DUMMYFUNCTION("""COMPUTED_VALUE"""),5)</f>
        <v>5</v>
      </c>
      <c r="F56" s="13" t="str">
        <f ca="1">IFERROR(__xludf.DUMMYFUNCTION("""COMPUTED_VALUE"""),"Пономарева Елена Николаевна")</f>
        <v>Пономарева Елена Николаевна</v>
      </c>
      <c r="G56" s="91">
        <f ca="1">IFERROR(__xludf.DUMMYFUNCTION("""COMPUTED_VALUE"""),5)</f>
        <v>5</v>
      </c>
      <c r="H56" s="91">
        <f ca="1">IFERROR(__xludf.DUMMYFUNCTION("""COMPUTED_VALUE"""),4)</f>
        <v>4</v>
      </c>
      <c r="I56" s="91">
        <f ca="1">IFERROR(__xludf.DUMMYFUNCTION("""COMPUTED_VALUE"""),6)</f>
        <v>6</v>
      </c>
      <c r="J56" s="91">
        <f ca="1">IFERROR(__xludf.DUMMYFUNCTION("""COMPUTED_VALUE"""),12)</f>
        <v>12</v>
      </c>
      <c r="K56" s="91"/>
      <c r="L56" s="91"/>
      <c r="M56" s="91">
        <f ca="1">IFERROR(__xludf.DUMMYFUNCTION("""COMPUTED_VALUE"""),27)</f>
        <v>27</v>
      </c>
      <c r="N56" s="14"/>
      <c r="O56" s="91">
        <f t="shared" ca="1" si="0"/>
        <v>27</v>
      </c>
      <c r="P56" s="91">
        <v>50</v>
      </c>
      <c r="Q56" s="91" t="s">
        <v>83</v>
      </c>
    </row>
    <row r="57" spans="1:17" ht="12.75" x14ac:dyDescent="0.2">
      <c r="A57" s="12">
        <v>51</v>
      </c>
      <c r="B57" s="16" t="str">
        <f ca="1">IFERROR(__xludf.DUMMYFUNCTION("""COMPUTED_VALUE"""),"Пащенко Валерия Вадимовна")</f>
        <v>Пащенко Валерия Вадимовна</v>
      </c>
      <c r="C57" s="13"/>
      <c r="D57" s="24" t="str">
        <f ca="1">IFERROR(__xludf.DUMMYFUNCTION("""COMPUTED_VALUE"""),"МОУ ""СОШ им. Ю.А. Гагарина """)</f>
        <v>МОУ "СОШ им. Ю.А. Гагарина "</v>
      </c>
      <c r="E57" s="13">
        <f ca="1">IFERROR(__xludf.DUMMYFUNCTION("""COMPUTED_VALUE"""),5)</f>
        <v>5</v>
      </c>
      <c r="F57" s="13" t="str">
        <f ca="1">IFERROR(__xludf.DUMMYFUNCTION("""COMPUTED_VALUE"""),"Павлова Лариса Сергеевна")</f>
        <v>Павлова Лариса Сергеевна</v>
      </c>
      <c r="G57" s="91">
        <f ca="1">IFERROR(__xludf.DUMMYFUNCTION("""COMPUTED_VALUE"""),5)</f>
        <v>5</v>
      </c>
      <c r="H57" s="91">
        <f ca="1">IFERROR(__xludf.DUMMYFUNCTION("""COMPUTED_VALUE"""),4)</f>
        <v>4</v>
      </c>
      <c r="I57" s="91">
        <f ca="1">IFERROR(__xludf.DUMMYFUNCTION("""COMPUTED_VALUE"""),7)</f>
        <v>7</v>
      </c>
      <c r="J57" s="91">
        <f ca="1">IFERROR(__xludf.DUMMYFUNCTION("""COMPUTED_VALUE"""),11)</f>
        <v>11</v>
      </c>
      <c r="K57" s="91"/>
      <c r="L57" s="91"/>
      <c r="M57" s="91">
        <f ca="1">IFERROR(__xludf.DUMMYFUNCTION("""COMPUTED_VALUE"""),27)</f>
        <v>27</v>
      </c>
      <c r="N57" s="14"/>
      <c r="O57" s="91">
        <f t="shared" ca="1" si="0"/>
        <v>27</v>
      </c>
      <c r="P57" s="91">
        <v>51</v>
      </c>
      <c r="Q57" s="91" t="s">
        <v>83</v>
      </c>
    </row>
    <row r="58" spans="1:17" ht="12.75" x14ac:dyDescent="0.2">
      <c r="A58" s="12">
        <v>52</v>
      </c>
      <c r="B58" s="13" t="str">
        <f ca="1">IFERROR(__xludf.DUMMYFUNCTION("""COMPUTED_VALUE"""),"Бычихина Анастасия Викторовна")</f>
        <v>Бычихина Анастасия Викторовна</v>
      </c>
      <c r="C58" s="13"/>
      <c r="D58" s="2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58" s="13">
        <f ca="1">IFERROR(__xludf.DUMMYFUNCTION("""COMPUTED_VALUE"""),5)</f>
        <v>5</v>
      </c>
      <c r="F58" s="13" t="str">
        <f ca="1">IFERROR(__xludf.DUMMYFUNCTION("""COMPUTED_VALUE"""),"Яскевич Вера Алексеевна")</f>
        <v>Яскевич Вера Алексеевна</v>
      </c>
      <c r="G58" s="91">
        <f ca="1">IFERROR(__xludf.DUMMYFUNCTION("""COMPUTED_VALUE"""),5)</f>
        <v>5</v>
      </c>
      <c r="H58" s="91">
        <f ca="1">IFERROR(__xludf.DUMMYFUNCTION("""COMPUTED_VALUE"""),6)</f>
        <v>6</v>
      </c>
      <c r="I58" s="91">
        <f ca="1">IFERROR(__xludf.DUMMYFUNCTION("""COMPUTED_VALUE"""),4)</f>
        <v>4</v>
      </c>
      <c r="J58" s="91">
        <f ca="1">IFERROR(__xludf.DUMMYFUNCTION("""COMPUTED_VALUE"""),12)</f>
        <v>12</v>
      </c>
      <c r="K58" s="91"/>
      <c r="L58" s="91"/>
      <c r="M58" s="91">
        <f ca="1">IFERROR(__xludf.DUMMYFUNCTION("""COMPUTED_VALUE"""),27)</f>
        <v>27</v>
      </c>
      <c r="N58" s="14"/>
      <c r="O58" s="91">
        <f t="shared" ca="1" si="0"/>
        <v>27</v>
      </c>
      <c r="P58" s="91">
        <v>52</v>
      </c>
      <c r="Q58" s="91" t="s">
        <v>83</v>
      </c>
    </row>
    <row r="59" spans="1:17" ht="12.75" x14ac:dyDescent="0.2">
      <c r="A59" s="12">
        <v>53</v>
      </c>
      <c r="B59" s="15" t="str">
        <f ca="1">IFERROR(__xludf.DUMMYFUNCTION("""COMPUTED_VALUE"""),"Рубан Егор Андреевич")</f>
        <v>Рубан Егор Андреевич</v>
      </c>
      <c r="C59" s="15"/>
      <c r="D59" s="25" t="str">
        <f ca="1">IFERROR(__xludf.DUMMYFUNCTION("""COMPUTED_VALUE"""),"МОУ ""СОШ №24""")</f>
        <v>МОУ "СОШ №24"</v>
      </c>
      <c r="E59" s="15">
        <f ca="1">IFERROR(__xludf.DUMMYFUNCTION("""COMPUTED_VALUE"""),5)</f>
        <v>5</v>
      </c>
      <c r="F59" s="15" t="str">
        <f ca="1">IFERROR(__xludf.DUMMYFUNCTION("""COMPUTED_VALUE"""),"Моисеева Татьяна Владимировна")</f>
        <v>Моисеева Татьяна Владимировна</v>
      </c>
      <c r="G59" s="76">
        <f ca="1">IFERROR(__xludf.DUMMYFUNCTION("""COMPUTED_VALUE"""),2)</f>
        <v>2</v>
      </c>
      <c r="H59" s="76">
        <f ca="1">IFERROR(__xludf.DUMMYFUNCTION("""COMPUTED_VALUE"""),6)</f>
        <v>6</v>
      </c>
      <c r="I59" s="76">
        <f ca="1">IFERROR(__xludf.DUMMYFUNCTION("""COMPUTED_VALUE"""),6)</f>
        <v>6</v>
      </c>
      <c r="J59" s="76">
        <f ca="1">IFERROR(__xludf.DUMMYFUNCTION("""COMPUTED_VALUE"""),12)</f>
        <v>12</v>
      </c>
      <c r="K59" s="76"/>
      <c r="L59" s="76"/>
      <c r="M59" s="76">
        <f ca="1">IFERROR(__xludf.DUMMYFUNCTION("""COMPUTED_VALUE"""),26)</f>
        <v>26</v>
      </c>
      <c r="N59" s="14"/>
      <c r="O59" s="91">
        <f t="shared" ca="1" si="0"/>
        <v>26</v>
      </c>
      <c r="P59" s="91">
        <v>53</v>
      </c>
      <c r="Q59" s="91" t="s">
        <v>83</v>
      </c>
    </row>
    <row r="60" spans="1:17" ht="12.75" x14ac:dyDescent="0.2">
      <c r="A60" s="12">
        <v>54</v>
      </c>
      <c r="B60" s="15" t="str">
        <f ca="1">IFERROR(__xludf.DUMMYFUNCTION("""COMPUTED_VALUE"""),"Потемкина Ярослава Дмитриевна")</f>
        <v>Потемкина Ярослава Дмитриевна</v>
      </c>
      <c r="C60" s="15"/>
      <c r="D60" s="25" t="str">
        <f ca="1">IFERROR(__xludf.DUMMYFUNCTION("""COMPUTED_VALUE"""),"МОУ ""СОШ №33""")</f>
        <v>МОУ "СОШ №33"</v>
      </c>
      <c r="E60" s="15">
        <f ca="1">IFERROR(__xludf.DUMMYFUNCTION("""COMPUTED_VALUE"""),5)</f>
        <v>5</v>
      </c>
      <c r="F60" s="15" t="str">
        <f ca="1">IFERROR(__xludf.DUMMYFUNCTION("""COMPUTED_VALUE"""),"Сибряева Надежда Васильевна")</f>
        <v>Сибряева Надежда Васильевна</v>
      </c>
      <c r="G60" s="76">
        <f ca="1">IFERROR(__xludf.DUMMYFUNCTION("""COMPUTED_VALUE"""),6)</f>
        <v>6</v>
      </c>
      <c r="H60" s="76">
        <f ca="1">IFERROR(__xludf.DUMMYFUNCTION("""COMPUTED_VALUE"""),4)</f>
        <v>4</v>
      </c>
      <c r="I60" s="76">
        <f ca="1">IFERROR(__xludf.DUMMYFUNCTION("""COMPUTED_VALUE"""),7)</f>
        <v>7</v>
      </c>
      <c r="J60" s="76">
        <f ca="1">IFERROR(__xludf.DUMMYFUNCTION("""COMPUTED_VALUE"""),9)</f>
        <v>9</v>
      </c>
      <c r="K60" s="76"/>
      <c r="L60" s="76"/>
      <c r="M60" s="76">
        <f ca="1">IFERROR(__xludf.DUMMYFUNCTION("""COMPUTED_VALUE"""),26)</f>
        <v>26</v>
      </c>
      <c r="N60" s="14"/>
      <c r="O60" s="91">
        <f t="shared" ca="1" si="0"/>
        <v>26</v>
      </c>
      <c r="P60" s="91">
        <v>54</v>
      </c>
      <c r="Q60" s="91" t="s">
        <v>83</v>
      </c>
    </row>
    <row r="61" spans="1:17" ht="12.75" x14ac:dyDescent="0.2">
      <c r="A61" s="12">
        <v>55</v>
      </c>
      <c r="B61" s="15" t="str">
        <f ca="1">IFERROR(__xludf.DUMMYFUNCTION("""COMPUTED_VALUE"""),"Татаева Карина Алексеевна")</f>
        <v>Татаева Карина Алексеевна</v>
      </c>
      <c r="C61" s="15"/>
      <c r="D61" s="25" t="str">
        <f ca="1">IFERROR(__xludf.DUMMYFUNCTION("""COMPUTED_VALUE"""),"МОУ ""МЭЛ им. Шнитке А.Г.""")</f>
        <v>МОУ "МЭЛ им. Шнитке А.Г."</v>
      </c>
      <c r="E61" s="15">
        <f ca="1">IFERROR(__xludf.DUMMYFUNCTION("""COMPUTED_VALUE"""),5)</f>
        <v>5</v>
      </c>
      <c r="F61" s="15" t="str">
        <f ca="1">IFERROR(__xludf.DUMMYFUNCTION("""COMPUTED_VALUE"""),"Мотавкина Светлана Сергеевна")</f>
        <v>Мотавкина Светлана Сергеевна</v>
      </c>
      <c r="G61" s="76">
        <f ca="1">IFERROR(__xludf.DUMMYFUNCTION("""COMPUTED_VALUE"""),4)</f>
        <v>4</v>
      </c>
      <c r="H61" s="76">
        <f ca="1">IFERROR(__xludf.DUMMYFUNCTION("""COMPUTED_VALUE"""),2)</f>
        <v>2</v>
      </c>
      <c r="I61" s="76">
        <f ca="1">IFERROR(__xludf.DUMMYFUNCTION("""COMPUTED_VALUE"""),9)</f>
        <v>9</v>
      </c>
      <c r="J61" s="76">
        <v>11</v>
      </c>
      <c r="K61" s="76"/>
      <c r="L61" s="76"/>
      <c r="M61" s="76">
        <f ca="1">IFERROR(__xludf.DUMMYFUNCTION("""COMPUTED_VALUE"""),26)</f>
        <v>26</v>
      </c>
      <c r="N61" s="15"/>
      <c r="O61" s="91">
        <f t="shared" ca="1" si="0"/>
        <v>26</v>
      </c>
      <c r="P61" s="91">
        <v>55</v>
      </c>
      <c r="Q61" s="91" t="s">
        <v>83</v>
      </c>
    </row>
    <row r="62" spans="1:17" ht="12.75" x14ac:dyDescent="0.2">
      <c r="A62" s="12">
        <v>56</v>
      </c>
      <c r="B62" s="13" t="str">
        <f ca="1">IFERROR(__xludf.DUMMYFUNCTION("""COMPUTED_VALUE"""),"Полетаева Мария Сергеевна")</f>
        <v>Полетаева Мария Сергеевна</v>
      </c>
      <c r="C62" s="13"/>
      <c r="D62" s="24" t="str">
        <f ca="1">IFERROR(__xludf.DUMMYFUNCTION("""COMPUTED_VALUE"""),"МОУ ""СОШ с. Шумейка""")</f>
        <v>МОУ "СОШ с. Шумейка"</v>
      </c>
      <c r="E62" s="13">
        <f ca="1">IFERROR(__xludf.DUMMYFUNCTION("""COMPUTED_VALUE"""),5)</f>
        <v>5</v>
      </c>
      <c r="F62" s="13" t="str">
        <f ca="1">IFERROR(__xludf.DUMMYFUNCTION("""COMPUTED_VALUE"""),"Полякова Наталия Викторовна")</f>
        <v>Полякова Наталия Викторовна</v>
      </c>
      <c r="G62" s="91">
        <f ca="1">IFERROR(__xludf.DUMMYFUNCTION("""COMPUTED_VALUE"""),3)</f>
        <v>3</v>
      </c>
      <c r="H62" s="91">
        <f ca="1">IFERROR(__xludf.DUMMYFUNCTION("""COMPUTED_VALUE"""),2)</f>
        <v>2</v>
      </c>
      <c r="I62" s="91">
        <f ca="1">IFERROR(__xludf.DUMMYFUNCTION("""COMPUTED_VALUE"""),8)</f>
        <v>8</v>
      </c>
      <c r="J62" s="91">
        <v>13</v>
      </c>
      <c r="K62" s="91"/>
      <c r="L62" s="91"/>
      <c r="M62" s="91">
        <f ca="1">IFERROR(__xludf.DUMMYFUNCTION("""COMPUTED_VALUE"""),26)</f>
        <v>26</v>
      </c>
      <c r="N62" s="15"/>
      <c r="O62" s="91">
        <f t="shared" ca="1" si="0"/>
        <v>26</v>
      </c>
      <c r="P62" s="91">
        <v>56</v>
      </c>
      <c r="Q62" s="91" t="s">
        <v>83</v>
      </c>
    </row>
    <row r="63" spans="1:17" ht="12.75" x14ac:dyDescent="0.2">
      <c r="A63" s="12">
        <v>57</v>
      </c>
      <c r="B63" s="15" t="str">
        <f ca="1">IFERROR(__xludf.DUMMYFUNCTION("""COMPUTED_VALUE"""),"Кулькова Кира Дмитриевна")</f>
        <v>Кулькова Кира Дмитриевна</v>
      </c>
      <c r="C63" s="15"/>
      <c r="D63" s="25" t="str">
        <f ca="1">IFERROR(__xludf.DUMMYFUNCTION("""COMPUTED_VALUE"""),"МОУ ""МЭЛ им. Шнитке А.Г.""")</f>
        <v>МОУ "МЭЛ им. Шнитке А.Г."</v>
      </c>
      <c r="E63" s="15">
        <f ca="1">IFERROR(__xludf.DUMMYFUNCTION("""COMPUTED_VALUE"""),5)</f>
        <v>5</v>
      </c>
      <c r="F63" s="15" t="str">
        <f ca="1">IFERROR(__xludf.DUMMYFUNCTION("""COMPUTED_VALUE"""),"Мотавкина Светлана Сергеевна")</f>
        <v>Мотавкина Светлана Сергеевна</v>
      </c>
      <c r="G63" s="76">
        <f ca="1">IFERROR(__xludf.DUMMYFUNCTION("""COMPUTED_VALUE"""),5)</f>
        <v>5</v>
      </c>
      <c r="H63" s="76">
        <f ca="1">IFERROR(__xludf.DUMMYFUNCTION("""COMPUTED_VALUE"""),8)</f>
        <v>8</v>
      </c>
      <c r="I63" s="76">
        <f ca="1">IFERROR(__xludf.DUMMYFUNCTION("""COMPUTED_VALUE"""),6)</f>
        <v>6</v>
      </c>
      <c r="J63" s="76">
        <v>6</v>
      </c>
      <c r="K63" s="76"/>
      <c r="L63" s="76"/>
      <c r="M63" s="76">
        <f ca="1">IFERROR(__xludf.DUMMYFUNCTION("""COMPUTED_VALUE"""),25)</f>
        <v>25</v>
      </c>
      <c r="N63" s="15"/>
      <c r="O63" s="91">
        <f t="shared" ca="1" si="0"/>
        <v>25</v>
      </c>
      <c r="P63" s="91">
        <v>57</v>
      </c>
      <c r="Q63" s="91" t="s">
        <v>83</v>
      </c>
    </row>
    <row r="64" spans="1:17" ht="12.75" x14ac:dyDescent="0.2">
      <c r="A64" s="12">
        <v>58</v>
      </c>
      <c r="B64" s="13" t="str">
        <f ca="1">IFERROR(__xludf.DUMMYFUNCTION("""COMPUTED_VALUE"""),"Файзулин Амир Андреевич")</f>
        <v>Файзулин Амир Андреевич</v>
      </c>
      <c r="C64" s="13"/>
      <c r="D64" s="24" t="str">
        <f ca="1">IFERROR(__xludf.DUMMYFUNCTION("""COMPUTED_VALUE"""),"МОУ ""СОШ п. им. К. Маркса""")</f>
        <v>МОУ "СОШ п. им. К. Маркса"</v>
      </c>
      <c r="E64" s="13">
        <f ca="1">IFERROR(__xludf.DUMMYFUNCTION("""COMPUTED_VALUE"""),5)</f>
        <v>5</v>
      </c>
      <c r="F64" s="13" t="str">
        <f ca="1">IFERROR(__xludf.DUMMYFUNCTION("""COMPUTED_VALUE"""),"Постнова Ольга Вениаминовна")</f>
        <v>Постнова Ольга Вениаминовна</v>
      </c>
      <c r="G64" s="91">
        <f ca="1">IFERROR(__xludf.DUMMYFUNCTION("""COMPUTED_VALUE"""),5)</f>
        <v>5</v>
      </c>
      <c r="H64" s="91">
        <f ca="1">IFERROR(__xludf.DUMMYFUNCTION("""COMPUTED_VALUE"""),4)</f>
        <v>4</v>
      </c>
      <c r="I64" s="91">
        <f ca="1">IFERROR(__xludf.DUMMYFUNCTION("""COMPUTED_VALUE"""),5)</f>
        <v>5</v>
      </c>
      <c r="J64" s="91">
        <v>11</v>
      </c>
      <c r="K64" s="91"/>
      <c r="L64" s="91"/>
      <c r="M64" s="91">
        <f ca="1">IFERROR(__xludf.DUMMYFUNCTION("""COMPUTED_VALUE"""),25)</f>
        <v>25</v>
      </c>
      <c r="N64" s="15"/>
      <c r="O64" s="91">
        <f t="shared" ca="1" si="0"/>
        <v>25</v>
      </c>
      <c r="P64" s="91">
        <v>58</v>
      </c>
      <c r="Q64" s="91" t="s">
        <v>83</v>
      </c>
    </row>
    <row r="65" spans="1:17" ht="12.75" x14ac:dyDescent="0.2">
      <c r="A65" s="12">
        <v>59</v>
      </c>
      <c r="B65" s="13" t="str">
        <f ca="1">IFERROR(__xludf.DUMMYFUNCTION("""COMPUTED_VALUE"""),"Файзулин Амир Андреевич")</f>
        <v>Файзулин Амир Андреевич</v>
      </c>
      <c r="C65" s="13"/>
      <c r="D65" s="24" t="str">
        <f ca="1">IFERROR(__xludf.DUMMYFUNCTION("""COMPUTED_VALUE"""),"МОУ ""СОШ п. им. К. Маркса""")</f>
        <v>МОУ "СОШ п. им. К. Маркса"</v>
      </c>
      <c r="E65" s="13">
        <f ca="1">IFERROR(__xludf.DUMMYFUNCTION("""COMPUTED_VALUE"""),5)</f>
        <v>5</v>
      </c>
      <c r="F65" s="13" t="str">
        <f ca="1">IFERROR(__xludf.DUMMYFUNCTION("""COMPUTED_VALUE"""),"Постнова Ольга Вениаминовна")</f>
        <v>Постнова Ольга Вениаминовна</v>
      </c>
      <c r="G65" s="91">
        <f ca="1">IFERROR(__xludf.DUMMYFUNCTION("""COMPUTED_VALUE"""),5)</f>
        <v>5</v>
      </c>
      <c r="H65" s="91">
        <f ca="1">IFERROR(__xludf.DUMMYFUNCTION("""COMPUTED_VALUE"""),4)</f>
        <v>4</v>
      </c>
      <c r="I65" s="91">
        <f ca="1">IFERROR(__xludf.DUMMYFUNCTION("""COMPUTED_VALUE"""),5)</f>
        <v>5</v>
      </c>
      <c r="J65" s="91">
        <v>11</v>
      </c>
      <c r="K65" s="91"/>
      <c r="L65" s="91"/>
      <c r="M65" s="91">
        <f ca="1">IFERROR(__xludf.DUMMYFUNCTION("""COMPUTED_VALUE"""),25)</f>
        <v>25</v>
      </c>
      <c r="N65" s="15"/>
      <c r="O65" s="91">
        <f t="shared" ca="1" si="0"/>
        <v>25</v>
      </c>
      <c r="P65" s="91">
        <v>59</v>
      </c>
      <c r="Q65" s="91" t="s">
        <v>83</v>
      </c>
    </row>
    <row r="66" spans="1:17" ht="12.75" x14ac:dyDescent="0.2">
      <c r="A66" s="12">
        <v>60</v>
      </c>
      <c r="B66" s="13" t="str">
        <f ca="1">IFERROR(__xludf.DUMMYFUNCTION("""COMPUTED_VALUE"""),"Рыбина Вероника ")</f>
        <v xml:space="preserve">Рыбина Вероника </v>
      </c>
      <c r="C66" s="13"/>
      <c r="D66" s="2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66" s="13">
        <f ca="1">IFERROR(__xludf.DUMMYFUNCTION("""COMPUTED_VALUE"""),5)</f>
        <v>5</v>
      </c>
      <c r="F66" s="13" t="str">
        <f ca="1">IFERROR(__xludf.DUMMYFUNCTION("""COMPUTED_VALUE"""),"Яскевич Вера Алексеевна")</f>
        <v>Яскевич Вера Алексеевна</v>
      </c>
      <c r="G66" s="91">
        <f ca="1">IFERROR(__xludf.DUMMYFUNCTION("""COMPUTED_VALUE"""),6)</f>
        <v>6</v>
      </c>
      <c r="H66" s="91">
        <f ca="1">IFERROR(__xludf.DUMMYFUNCTION("""COMPUTED_VALUE"""),0)</f>
        <v>0</v>
      </c>
      <c r="I66" s="91">
        <f ca="1">IFERROR(__xludf.DUMMYFUNCTION("""COMPUTED_VALUE"""),8)</f>
        <v>8</v>
      </c>
      <c r="J66" s="91">
        <f ca="1">IFERROR(__xludf.DUMMYFUNCTION("""COMPUTED_VALUE"""),11)</f>
        <v>11</v>
      </c>
      <c r="K66" s="91"/>
      <c r="L66" s="91"/>
      <c r="M66" s="91">
        <f ca="1">IFERROR(__xludf.DUMMYFUNCTION("""COMPUTED_VALUE"""),25)</f>
        <v>25</v>
      </c>
      <c r="N66" s="14"/>
      <c r="O66" s="91">
        <f t="shared" ca="1" si="0"/>
        <v>25</v>
      </c>
      <c r="P66" s="91">
        <v>60</v>
      </c>
      <c r="Q66" s="91" t="s">
        <v>83</v>
      </c>
    </row>
    <row r="67" spans="1:17" ht="12.75" x14ac:dyDescent="0.2">
      <c r="A67" s="12">
        <v>61</v>
      </c>
      <c r="B67" s="16" t="str">
        <f ca="1">IFERROR(__xludf.DUMMYFUNCTION("""COMPUTED_VALUE"""),"Сайфулина Диана Нурлановна")</f>
        <v>Сайфулина Диана Нурлановна</v>
      </c>
      <c r="C67" s="13"/>
      <c r="D67" s="24" t="str">
        <f ca="1">IFERROR(__xludf.DUMMYFUNCTION("""COMPUTED_VALUE"""),"МОУ ""СОШ п. им. К. Маркса""")</f>
        <v>МОУ "СОШ п. им. К. Маркса"</v>
      </c>
      <c r="E67" s="13">
        <f ca="1">IFERROR(__xludf.DUMMYFUNCTION("""COMPUTED_VALUE"""),5)</f>
        <v>5</v>
      </c>
      <c r="F67" s="13" t="str">
        <f ca="1">IFERROR(__xludf.DUMMYFUNCTION("""COMPUTED_VALUE"""),"Постнова Ольга Вениаминовна")</f>
        <v>Постнова Ольга Вениаминовна</v>
      </c>
      <c r="G67" s="91">
        <f ca="1">IFERROR(__xludf.DUMMYFUNCTION("""COMPUTED_VALUE"""),4)</f>
        <v>4</v>
      </c>
      <c r="H67" s="91">
        <f ca="1">IFERROR(__xludf.DUMMYFUNCTION("""COMPUTED_VALUE"""),8)</f>
        <v>8</v>
      </c>
      <c r="I67" s="91">
        <f ca="1">IFERROR(__xludf.DUMMYFUNCTION("""COMPUTED_VALUE"""),3)</f>
        <v>3</v>
      </c>
      <c r="J67" s="91">
        <v>9</v>
      </c>
      <c r="K67" s="91"/>
      <c r="L67" s="91"/>
      <c r="M67" s="91">
        <f ca="1">IFERROR(__xludf.DUMMYFUNCTION("""COMPUTED_VALUE"""),24)</f>
        <v>24</v>
      </c>
      <c r="N67" s="15"/>
      <c r="O67" s="91">
        <f t="shared" ca="1" si="0"/>
        <v>24</v>
      </c>
      <c r="P67" s="91">
        <v>61</v>
      </c>
      <c r="Q67" s="91" t="s">
        <v>83</v>
      </c>
    </row>
    <row r="68" spans="1:17" ht="12.75" x14ac:dyDescent="0.2">
      <c r="A68" s="12">
        <v>62</v>
      </c>
      <c r="B68" s="13" t="str">
        <f ca="1">IFERROR(__xludf.DUMMYFUNCTION("""COMPUTED_VALUE"""),"Сатуева Виктория Руслановна")</f>
        <v>Сатуева Виктория Руслановна</v>
      </c>
      <c r="C68" s="13"/>
      <c r="D68" s="24" t="str">
        <f ca="1">IFERROR(__xludf.DUMMYFUNCTION("""COMPUTED_VALUE"""),"МОУ ""СОШ п. им. К. Маркса""")</f>
        <v>МОУ "СОШ п. им. К. Маркса"</v>
      </c>
      <c r="E68" s="13">
        <f ca="1">IFERROR(__xludf.DUMMYFUNCTION("""COMPUTED_VALUE"""),5)</f>
        <v>5</v>
      </c>
      <c r="F68" s="13" t="str">
        <f ca="1">IFERROR(__xludf.DUMMYFUNCTION("""COMPUTED_VALUE"""),"Постнова Ольга Вениаминовна")</f>
        <v>Постнова Ольга Вениаминовна</v>
      </c>
      <c r="G68" s="91">
        <f ca="1">IFERROR(__xludf.DUMMYFUNCTION("""COMPUTED_VALUE"""),4)</f>
        <v>4</v>
      </c>
      <c r="H68" s="91">
        <f ca="1">IFERROR(__xludf.DUMMYFUNCTION("""COMPUTED_VALUE"""),8)</f>
        <v>8</v>
      </c>
      <c r="I68" s="91">
        <f ca="1">IFERROR(__xludf.DUMMYFUNCTION("""COMPUTED_VALUE"""),3)</f>
        <v>3</v>
      </c>
      <c r="J68" s="91">
        <v>9</v>
      </c>
      <c r="K68" s="91"/>
      <c r="L68" s="91"/>
      <c r="M68" s="91">
        <f ca="1">IFERROR(__xludf.DUMMYFUNCTION("""COMPUTED_VALUE"""),24)</f>
        <v>24</v>
      </c>
      <c r="N68" s="15"/>
      <c r="O68" s="91">
        <f t="shared" ca="1" si="0"/>
        <v>24</v>
      </c>
      <c r="P68" s="91">
        <v>62</v>
      </c>
      <c r="Q68" s="91" t="s">
        <v>83</v>
      </c>
    </row>
    <row r="69" spans="1:17" ht="12.75" x14ac:dyDescent="0.2">
      <c r="A69" s="12">
        <v>63</v>
      </c>
      <c r="B69" s="13" t="str">
        <f ca="1">IFERROR(__xludf.DUMMYFUNCTION("""COMPUTED_VALUE"""),"Сайфулина Диана Нурлановна")</f>
        <v>Сайфулина Диана Нурлановна</v>
      </c>
      <c r="C69" s="13"/>
      <c r="D69" s="24" t="str">
        <f ca="1">IFERROR(__xludf.DUMMYFUNCTION("""COMPUTED_VALUE"""),"МОУ ""СОШ п. им. К. Маркса""")</f>
        <v>МОУ "СОШ п. им. К. Маркса"</v>
      </c>
      <c r="E69" s="13">
        <f ca="1">IFERROR(__xludf.DUMMYFUNCTION("""COMPUTED_VALUE"""),5)</f>
        <v>5</v>
      </c>
      <c r="F69" s="13" t="str">
        <f ca="1">IFERROR(__xludf.DUMMYFUNCTION("""COMPUTED_VALUE"""),"Постнова Ольга Вениаминовна")</f>
        <v>Постнова Ольга Вениаминовна</v>
      </c>
      <c r="G69" s="91">
        <f ca="1">IFERROR(__xludf.DUMMYFUNCTION("""COMPUTED_VALUE"""),4)</f>
        <v>4</v>
      </c>
      <c r="H69" s="91">
        <f ca="1">IFERROR(__xludf.DUMMYFUNCTION("""COMPUTED_VALUE"""),8)</f>
        <v>8</v>
      </c>
      <c r="I69" s="91">
        <f ca="1">IFERROR(__xludf.DUMMYFUNCTION("""COMPUTED_VALUE"""),3)</f>
        <v>3</v>
      </c>
      <c r="J69" s="91">
        <v>9</v>
      </c>
      <c r="K69" s="91"/>
      <c r="L69" s="91"/>
      <c r="M69" s="91">
        <f ca="1">IFERROR(__xludf.DUMMYFUNCTION("""COMPUTED_VALUE"""),24)</f>
        <v>24</v>
      </c>
      <c r="N69" s="15"/>
      <c r="O69" s="91">
        <f t="shared" ca="1" si="0"/>
        <v>24</v>
      </c>
      <c r="P69" s="91">
        <v>63</v>
      </c>
      <c r="Q69" s="91" t="s">
        <v>83</v>
      </c>
    </row>
    <row r="70" spans="1:17" ht="12.75" x14ac:dyDescent="0.2">
      <c r="A70" s="12">
        <v>64</v>
      </c>
      <c r="B70" s="13" t="str">
        <f ca="1">IFERROR(__xludf.DUMMYFUNCTION("""COMPUTED_VALUE"""),"Сатуева Виктория Руслановна")</f>
        <v>Сатуева Виктория Руслановна</v>
      </c>
      <c r="C70" s="13"/>
      <c r="D70" s="24" t="str">
        <f ca="1">IFERROR(__xludf.DUMMYFUNCTION("""COMPUTED_VALUE"""),"МОУ ""СОШ п. им. К. Маркса""")</f>
        <v>МОУ "СОШ п. им. К. Маркса"</v>
      </c>
      <c r="E70" s="13">
        <f ca="1">IFERROR(__xludf.DUMMYFUNCTION("""COMPUTED_VALUE"""),5)</f>
        <v>5</v>
      </c>
      <c r="F70" s="13" t="str">
        <f ca="1">IFERROR(__xludf.DUMMYFUNCTION("""COMPUTED_VALUE"""),"Постнова Ольга Вениаминовна")</f>
        <v>Постнова Ольга Вениаминовна</v>
      </c>
      <c r="G70" s="91">
        <f ca="1">IFERROR(__xludf.DUMMYFUNCTION("""COMPUTED_VALUE"""),4)</f>
        <v>4</v>
      </c>
      <c r="H70" s="91">
        <f ca="1">IFERROR(__xludf.DUMMYFUNCTION("""COMPUTED_VALUE"""),8)</f>
        <v>8</v>
      </c>
      <c r="I70" s="91">
        <f ca="1">IFERROR(__xludf.DUMMYFUNCTION("""COMPUTED_VALUE"""),3)</f>
        <v>3</v>
      </c>
      <c r="J70" s="91">
        <v>9</v>
      </c>
      <c r="K70" s="91"/>
      <c r="L70" s="91"/>
      <c r="M70" s="91">
        <f ca="1">IFERROR(__xludf.DUMMYFUNCTION("""COMPUTED_VALUE"""),24)</f>
        <v>24</v>
      </c>
      <c r="N70" s="15"/>
      <c r="O70" s="91">
        <f t="shared" ca="1" si="0"/>
        <v>24</v>
      </c>
      <c r="P70" s="91">
        <v>64</v>
      </c>
      <c r="Q70" s="91" t="s">
        <v>83</v>
      </c>
    </row>
    <row r="71" spans="1:17" ht="12.75" x14ac:dyDescent="0.2">
      <c r="A71" s="12">
        <v>65</v>
      </c>
      <c r="B71" s="13" t="str">
        <f ca="1">IFERROR(__xludf.DUMMYFUNCTION("""COMPUTED_VALUE"""),"Ефремов Иван Александрович")</f>
        <v>Ефремов Иван Александрович</v>
      </c>
      <c r="C71" s="13"/>
      <c r="D71" s="24" t="str">
        <f ca="1">IFERROR(__xludf.DUMMYFUNCTION("""COMPUTED_VALUE"""),"МОУ ""СОШ им. Ю.А. Гагарина """)</f>
        <v>МОУ "СОШ им. Ю.А. Гагарина "</v>
      </c>
      <c r="E71" s="13">
        <f ca="1">IFERROR(__xludf.DUMMYFUNCTION("""COMPUTED_VALUE"""),5)</f>
        <v>5</v>
      </c>
      <c r="F71" s="13" t="str">
        <f ca="1">IFERROR(__xludf.DUMMYFUNCTION("""COMPUTED_VALUE"""),"Павлова Лариса Сергеевна")</f>
        <v>Павлова Лариса Сергеевна</v>
      </c>
      <c r="G71" s="91">
        <f ca="1">IFERROR(__xludf.DUMMYFUNCTION("""COMPUTED_VALUE"""),2)</f>
        <v>2</v>
      </c>
      <c r="H71" s="91">
        <f ca="1">IFERROR(__xludf.DUMMYFUNCTION("""COMPUTED_VALUE"""),8)</f>
        <v>8</v>
      </c>
      <c r="I71" s="91">
        <f ca="1">IFERROR(__xludf.DUMMYFUNCTION("""COMPUTED_VALUE"""),5)</f>
        <v>5</v>
      </c>
      <c r="J71" s="91">
        <f ca="1">IFERROR(__xludf.DUMMYFUNCTION("""COMPUTED_VALUE"""),9)</f>
        <v>9</v>
      </c>
      <c r="K71" s="91"/>
      <c r="L71" s="91"/>
      <c r="M71" s="91">
        <f ca="1">IFERROR(__xludf.DUMMYFUNCTION("""COMPUTED_VALUE"""),24)</f>
        <v>24</v>
      </c>
      <c r="N71" s="14"/>
      <c r="O71" s="91">
        <f t="shared" ca="1" si="0"/>
        <v>24</v>
      </c>
      <c r="P71" s="91">
        <v>65</v>
      </c>
      <c r="Q71" s="91" t="s">
        <v>83</v>
      </c>
    </row>
    <row r="72" spans="1:17" ht="12.75" x14ac:dyDescent="0.2">
      <c r="A72" s="12">
        <v>66</v>
      </c>
      <c r="B72" s="16" t="str">
        <f ca="1">IFERROR(__xludf.DUMMYFUNCTION("""COMPUTED_VALUE"""),"Белова Екатерина Денисовна")</f>
        <v>Белова Екатерина Денисовна</v>
      </c>
      <c r="C72" s="13"/>
      <c r="D72" s="24" t="str">
        <f ca="1">IFERROR(__xludf.DUMMYFUNCTION("""COMPUTED_VALUE"""),"МОУ ""СОШ им. Ю.А. Гагарина """)</f>
        <v>МОУ "СОШ им. Ю.А. Гагарина "</v>
      </c>
      <c r="E72" s="13">
        <f ca="1">IFERROR(__xludf.DUMMYFUNCTION("""COMPUTED_VALUE"""),5)</f>
        <v>5</v>
      </c>
      <c r="F72" s="13" t="str">
        <f ca="1">IFERROR(__xludf.DUMMYFUNCTION("""COMPUTED_VALUE"""),"Павлова Лариса Сергеевна")</f>
        <v>Павлова Лариса Сергеевна</v>
      </c>
      <c r="G72" s="91">
        <f ca="1">IFERROR(__xludf.DUMMYFUNCTION("""COMPUTED_VALUE"""),4)</f>
        <v>4</v>
      </c>
      <c r="H72" s="91">
        <f ca="1">IFERROR(__xludf.DUMMYFUNCTION("""COMPUTED_VALUE"""),8)</f>
        <v>8</v>
      </c>
      <c r="I72" s="91">
        <f ca="1">IFERROR(__xludf.DUMMYFUNCTION("""COMPUTED_VALUE"""),8)</f>
        <v>8</v>
      </c>
      <c r="J72" s="91">
        <f ca="1">IFERROR(__xludf.DUMMYFUNCTION("""COMPUTED_VALUE"""),4)</f>
        <v>4</v>
      </c>
      <c r="K72" s="91"/>
      <c r="L72" s="91"/>
      <c r="M72" s="91">
        <f ca="1">IFERROR(__xludf.DUMMYFUNCTION("""COMPUTED_VALUE"""),24)</f>
        <v>24</v>
      </c>
      <c r="N72" s="14"/>
      <c r="O72" s="91">
        <f t="shared" ref="O72:O97" ca="1" si="1">M72</f>
        <v>24</v>
      </c>
      <c r="P72" s="91">
        <v>66</v>
      </c>
      <c r="Q72" s="91" t="s">
        <v>83</v>
      </c>
    </row>
    <row r="73" spans="1:17" ht="12.75" x14ac:dyDescent="0.2">
      <c r="A73" s="12">
        <v>67</v>
      </c>
      <c r="B73" s="13" t="str">
        <f ca="1">IFERROR(__xludf.DUMMYFUNCTION("""COMPUTED_VALUE"""),"Киндлер Никита Алексеевич")</f>
        <v>Киндлер Никита Алексеевич</v>
      </c>
      <c r="C73" s="13"/>
      <c r="D73" s="24" t="str">
        <f ca="1">IFERROR(__xludf.DUMMYFUNCTION("""COMPUTED_VALUE"""),"МОУ ""СОШ №31""")</f>
        <v>МОУ "СОШ №31"</v>
      </c>
      <c r="E73" s="13">
        <f ca="1">IFERROR(__xludf.DUMMYFUNCTION("""COMPUTED_VALUE"""),5)</f>
        <v>5</v>
      </c>
      <c r="F73" s="13" t="str">
        <f ca="1">IFERROR(__xludf.DUMMYFUNCTION("""COMPUTED_VALUE"""),"Котлярова Евгения Владимировна")</f>
        <v>Котлярова Евгения Владимировна</v>
      </c>
      <c r="G73" s="91">
        <f ca="1">IFERROR(__xludf.DUMMYFUNCTION("""COMPUTED_VALUE"""),3)</f>
        <v>3</v>
      </c>
      <c r="H73" s="91">
        <f ca="1">IFERROR(__xludf.DUMMYFUNCTION("""COMPUTED_VALUE"""),4)</f>
        <v>4</v>
      </c>
      <c r="I73" s="91">
        <f ca="1">IFERROR(__xludf.DUMMYFUNCTION("""COMPUTED_VALUE"""),3)</f>
        <v>3</v>
      </c>
      <c r="J73" s="91">
        <v>14</v>
      </c>
      <c r="K73" s="91"/>
      <c r="L73" s="91"/>
      <c r="M73" s="91">
        <f ca="1">IFERROR(__xludf.DUMMYFUNCTION("""COMPUTED_VALUE"""),24)</f>
        <v>24</v>
      </c>
      <c r="N73" s="15"/>
      <c r="O73" s="91">
        <f t="shared" ca="1" si="1"/>
        <v>24</v>
      </c>
      <c r="P73" s="91">
        <v>67</v>
      </c>
      <c r="Q73" s="91" t="s">
        <v>83</v>
      </c>
    </row>
    <row r="74" spans="1:17" ht="12.75" x14ac:dyDescent="0.2">
      <c r="A74" s="12">
        <v>68</v>
      </c>
      <c r="B74" s="13" t="str">
        <f ca="1">IFERROR(__xludf.DUMMYFUNCTION("""COMPUTED_VALUE"""),"Симонян Авет Нарекович")</f>
        <v>Симонян Авет Нарекович</v>
      </c>
      <c r="C74" s="13"/>
      <c r="D74" s="2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74" s="13">
        <f ca="1">IFERROR(__xludf.DUMMYFUNCTION("""COMPUTED_VALUE"""),5)</f>
        <v>5</v>
      </c>
      <c r="F74" s="13" t="str">
        <f ca="1">IFERROR(__xludf.DUMMYFUNCTION("""COMPUTED_VALUE"""),"Яскевич Вера Алексеевна")</f>
        <v>Яскевич Вера Алексеевна</v>
      </c>
      <c r="G74" s="91">
        <f ca="1">IFERROR(__xludf.DUMMYFUNCTION("""COMPUTED_VALUE"""),4)</f>
        <v>4</v>
      </c>
      <c r="H74" s="91">
        <f ca="1">IFERROR(__xludf.DUMMYFUNCTION("""COMPUTED_VALUE"""),4)</f>
        <v>4</v>
      </c>
      <c r="I74" s="91">
        <f ca="1">IFERROR(__xludf.DUMMYFUNCTION("""COMPUTED_VALUE"""),6)</f>
        <v>6</v>
      </c>
      <c r="J74" s="91">
        <f ca="1">IFERROR(__xludf.DUMMYFUNCTION("""COMPUTED_VALUE"""),10)</f>
        <v>10</v>
      </c>
      <c r="K74" s="91"/>
      <c r="L74" s="91"/>
      <c r="M74" s="91">
        <f ca="1">IFERROR(__xludf.DUMMYFUNCTION("""COMPUTED_VALUE"""),24)</f>
        <v>24</v>
      </c>
      <c r="N74" s="14"/>
      <c r="O74" s="91">
        <f t="shared" ca="1" si="1"/>
        <v>24</v>
      </c>
      <c r="P74" s="91">
        <v>68</v>
      </c>
      <c r="Q74" s="91" t="s">
        <v>83</v>
      </c>
    </row>
    <row r="75" spans="1:17" ht="12.75" x14ac:dyDescent="0.2">
      <c r="A75" s="12">
        <v>69</v>
      </c>
      <c r="B75" s="13" t="str">
        <f ca="1">IFERROR(__xludf.DUMMYFUNCTION("""COMPUTED_VALUE"""),"Муратов Руслан Маратович")</f>
        <v>Муратов Руслан Маратович</v>
      </c>
      <c r="C75" s="13"/>
      <c r="D75" s="24" t="str">
        <f ca="1">IFERROR(__xludf.DUMMYFUNCTION("""COMPUTED_VALUE"""),"МОУ ""СОШ п. им. К. Маркса""")</f>
        <v>МОУ "СОШ п. им. К. Маркса"</v>
      </c>
      <c r="E75" s="13">
        <f ca="1">IFERROR(__xludf.DUMMYFUNCTION("""COMPUTED_VALUE"""),5)</f>
        <v>5</v>
      </c>
      <c r="F75" s="13" t="str">
        <f ca="1">IFERROR(__xludf.DUMMYFUNCTION("""COMPUTED_VALUE"""),"Постнова Ольга Вениаминовна")</f>
        <v>Постнова Ольга Вениаминовна</v>
      </c>
      <c r="G75" s="91">
        <f ca="1">IFERROR(__xludf.DUMMYFUNCTION("""COMPUTED_VALUE"""),2)</f>
        <v>2</v>
      </c>
      <c r="H75" s="91">
        <f ca="1">IFERROR(__xludf.DUMMYFUNCTION("""COMPUTED_VALUE"""),8)</f>
        <v>8</v>
      </c>
      <c r="I75" s="91">
        <f ca="1">IFERROR(__xludf.DUMMYFUNCTION("""COMPUTED_VALUE"""),6)</f>
        <v>6</v>
      </c>
      <c r="J75" s="91">
        <v>7</v>
      </c>
      <c r="K75" s="91"/>
      <c r="L75" s="91"/>
      <c r="M75" s="91">
        <f ca="1">IFERROR(__xludf.DUMMYFUNCTION("""COMPUTED_VALUE"""),23)</f>
        <v>23</v>
      </c>
      <c r="N75" s="15"/>
      <c r="O75" s="91">
        <f t="shared" ca="1" si="1"/>
        <v>23</v>
      </c>
      <c r="P75" s="91">
        <v>69</v>
      </c>
      <c r="Q75" s="91" t="s">
        <v>83</v>
      </c>
    </row>
    <row r="76" spans="1:17" ht="12.75" x14ac:dyDescent="0.2">
      <c r="A76" s="12">
        <v>70</v>
      </c>
      <c r="B76" s="13" t="str">
        <f ca="1">IFERROR(__xludf.DUMMYFUNCTION("""COMPUTED_VALUE"""),"Хабибулин Захар Олегович")</f>
        <v>Хабибулин Захар Олегович</v>
      </c>
      <c r="C76" s="13"/>
      <c r="D76" s="24" t="str">
        <f ca="1">IFERROR(__xludf.DUMMYFUNCTION("""COMPUTED_VALUE"""),"МОУ ""СОШ им. Ю.А. Гагарина """)</f>
        <v>МОУ "СОШ им. Ю.А. Гагарина "</v>
      </c>
      <c r="E76" s="13">
        <f ca="1">IFERROR(__xludf.DUMMYFUNCTION("""COMPUTED_VALUE"""),5)</f>
        <v>5</v>
      </c>
      <c r="F76" s="13" t="str">
        <f ca="1">IFERROR(__xludf.DUMMYFUNCTION("""COMPUTED_VALUE"""),"Павлова Лариса Сергеевна")</f>
        <v>Павлова Лариса Сергеевна</v>
      </c>
      <c r="G76" s="91">
        <f ca="1">IFERROR(__xludf.DUMMYFUNCTION("""COMPUTED_VALUE"""),4)</f>
        <v>4</v>
      </c>
      <c r="H76" s="91">
        <f ca="1">IFERROR(__xludf.DUMMYFUNCTION("""COMPUTED_VALUE"""),8)</f>
        <v>8</v>
      </c>
      <c r="I76" s="91">
        <f ca="1">IFERROR(__xludf.DUMMYFUNCTION("""COMPUTED_VALUE"""),7)</f>
        <v>7</v>
      </c>
      <c r="J76" s="91">
        <f ca="1">IFERROR(__xludf.DUMMYFUNCTION("""COMPUTED_VALUE"""),4)</f>
        <v>4</v>
      </c>
      <c r="K76" s="91"/>
      <c r="L76" s="91"/>
      <c r="M76" s="91">
        <f ca="1">IFERROR(__xludf.DUMMYFUNCTION("""COMPUTED_VALUE"""),23)</f>
        <v>23</v>
      </c>
      <c r="N76" s="14"/>
      <c r="O76" s="91">
        <f t="shared" ca="1" si="1"/>
        <v>23</v>
      </c>
      <c r="P76" s="91">
        <v>70</v>
      </c>
      <c r="Q76" s="91" t="s">
        <v>83</v>
      </c>
    </row>
    <row r="77" spans="1:17" ht="12.75" x14ac:dyDescent="0.2">
      <c r="A77" s="12">
        <v>71</v>
      </c>
      <c r="B77" s="13" t="str">
        <f ca="1">IFERROR(__xludf.DUMMYFUNCTION("""COMPUTED_VALUE"""),"Паша Яна Сергеевна")</f>
        <v>Паша Яна Сергеевна</v>
      </c>
      <c r="C77" s="13"/>
      <c r="D77" s="24" t="str">
        <f ca="1">IFERROR(__xludf.DUMMYFUNCTION("""COMPUTED_VALUE"""),"МОУ ""СОШ №31""")</f>
        <v>МОУ "СОШ №31"</v>
      </c>
      <c r="E77" s="13">
        <f ca="1">IFERROR(__xludf.DUMMYFUNCTION("""COMPUTED_VALUE"""),5)</f>
        <v>5</v>
      </c>
      <c r="F77" s="13" t="str">
        <f ca="1">IFERROR(__xludf.DUMMYFUNCTION("""COMPUTED_VALUE"""),"Котлярова Евгения Владимировна")</f>
        <v>Котлярова Евгения Владимировна</v>
      </c>
      <c r="G77" s="91">
        <f ca="1">IFERROR(__xludf.DUMMYFUNCTION("""COMPUTED_VALUE"""),3)</f>
        <v>3</v>
      </c>
      <c r="H77" s="91">
        <f ca="1">IFERROR(__xludf.DUMMYFUNCTION("""COMPUTED_VALUE"""),6)</f>
        <v>6</v>
      </c>
      <c r="I77" s="91">
        <f ca="1">IFERROR(__xludf.DUMMYFUNCTION("""COMPUTED_VALUE"""),5)</f>
        <v>5</v>
      </c>
      <c r="J77" s="91">
        <v>9</v>
      </c>
      <c r="K77" s="91"/>
      <c r="L77" s="91"/>
      <c r="M77" s="91">
        <f ca="1">IFERROR(__xludf.DUMMYFUNCTION("""COMPUTED_VALUE"""),23)</f>
        <v>23</v>
      </c>
      <c r="N77" s="15"/>
      <c r="O77" s="91">
        <f t="shared" ca="1" si="1"/>
        <v>23</v>
      </c>
      <c r="P77" s="91">
        <v>71</v>
      </c>
      <c r="Q77" s="91" t="s">
        <v>83</v>
      </c>
    </row>
    <row r="78" spans="1:17" ht="12.75" x14ac:dyDescent="0.2">
      <c r="A78" s="12">
        <v>72</v>
      </c>
      <c r="B78" s="13" t="str">
        <f ca="1">IFERROR(__xludf.DUMMYFUNCTION("""COMPUTED_VALUE"""),"Хан Евгения Александровна")</f>
        <v>Хан Евгения Александровна</v>
      </c>
      <c r="C78" s="13"/>
      <c r="D78" s="24" t="str">
        <f ca="1">IFERROR(__xludf.DUMMYFUNCTION("""COMPUTED_VALUE"""),"МОУ ""СОШ п. Придорожный""")</f>
        <v>МОУ "СОШ п. Придорожный"</v>
      </c>
      <c r="E78" s="13">
        <f ca="1">IFERROR(__xludf.DUMMYFUNCTION("""COMPUTED_VALUE"""),5)</f>
        <v>5</v>
      </c>
      <c r="F78" s="13" t="str">
        <f ca="1">IFERROR(__xludf.DUMMYFUNCTION("""COMPUTED_VALUE"""),"Демешко Екатерина Валерьевна")</f>
        <v>Демешко Екатерина Валерьевна</v>
      </c>
      <c r="G78" s="91">
        <f ca="1">IFERROR(__xludf.DUMMYFUNCTION("""COMPUTED_VALUE"""),3)</f>
        <v>3</v>
      </c>
      <c r="H78" s="91">
        <f ca="1">IFERROR(__xludf.DUMMYFUNCTION("""COMPUTED_VALUE"""),3)</f>
        <v>3</v>
      </c>
      <c r="I78" s="91">
        <f ca="1">IFERROR(__xludf.DUMMYFUNCTION("""COMPUTED_VALUE"""),7)</f>
        <v>7</v>
      </c>
      <c r="J78" s="91">
        <v>9</v>
      </c>
      <c r="K78" s="91"/>
      <c r="L78" s="91"/>
      <c r="M78" s="91">
        <f ca="1">IFERROR(__xludf.DUMMYFUNCTION("""COMPUTED_VALUE"""),22)</f>
        <v>22</v>
      </c>
      <c r="N78" s="15"/>
      <c r="O78" s="91">
        <f t="shared" ca="1" si="1"/>
        <v>22</v>
      </c>
      <c r="P78" s="91">
        <v>72</v>
      </c>
      <c r="Q78" s="76" t="s">
        <v>88</v>
      </c>
    </row>
    <row r="79" spans="1:17" ht="12.75" x14ac:dyDescent="0.2">
      <c r="A79" s="12">
        <v>73</v>
      </c>
      <c r="B79" s="13" t="str">
        <f ca="1">IFERROR(__xludf.DUMMYFUNCTION("""COMPUTED_VALUE"""),"Миллер Эвелина Александровна")</f>
        <v>Миллер Эвелина Александровна</v>
      </c>
      <c r="C79" s="13"/>
      <c r="D79" s="24" t="str">
        <f ca="1">IFERROR(__xludf.DUMMYFUNCTION("""COMPUTED_VALUE"""),"МОУ ""СОШ п. им. К. Маркса""")</f>
        <v>МОУ "СОШ п. им. К. Маркса"</v>
      </c>
      <c r="E79" s="13">
        <f ca="1">IFERROR(__xludf.DUMMYFUNCTION("""COMPUTED_VALUE"""),5)</f>
        <v>5</v>
      </c>
      <c r="F79" s="13" t="str">
        <f ca="1">IFERROR(__xludf.DUMMYFUNCTION("""COMPUTED_VALUE"""),"Постнова Ольга Вениаминовна")</f>
        <v>Постнова Ольга Вениаминовна</v>
      </c>
      <c r="G79" s="91">
        <f ca="1">IFERROR(__xludf.DUMMYFUNCTION("""COMPUTED_VALUE"""),2)</f>
        <v>2</v>
      </c>
      <c r="H79" s="91">
        <f ca="1">IFERROR(__xludf.DUMMYFUNCTION("""COMPUTED_VALUE"""),8)</f>
        <v>8</v>
      </c>
      <c r="I79" s="91">
        <f ca="1">IFERROR(__xludf.DUMMYFUNCTION("""COMPUTED_VALUE"""),5)</f>
        <v>5</v>
      </c>
      <c r="J79" s="91">
        <v>7</v>
      </c>
      <c r="K79" s="91"/>
      <c r="L79" s="91"/>
      <c r="M79" s="91">
        <f ca="1">IFERROR(__xludf.DUMMYFUNCTION("""COMPUTED_VALUE"""),22)</f>
        <v>22</v>
      </c>
      <c r="N79" s="15"/>
      <c r="O79" s="91">
        <f t="shared" ca="1" si="1"/>
        <v>22</v>
      </c>
      <c r="P79" s="91">
        <v>73</v>
      </c>
      <c r="Q79" s="76" t="s">
        <v>88</v>
      </c>
    </row>
    <row r="80" spans="1:17" ht="12.75" x14ac:dyDescent="0.2">
      <c r="A80" s="12">
        <v>74</v>
      </c>
      <c r="B80" s="13" t="str">
        <f ca="1">IFERROR(__xludf.DUMMYFUNCTION("""COMPUTED_VALUE"""),"Панфиленко Владислав Сергеевич")</f>
        <v>Панфиленко Владислав Сергеевич</v>
      </c>
      <c r="C80" s="13"/>
      <c r="D80" s="24" t="str">
        <f ca="1">IFERROR(__xludf.DUMMYFUNCTION("""COMPUTED_VALUE"""),"МОУ ""СОШ п. им. К. Маркса""")</f>
        <v>МОУ "СОШ п. им. К. Маркса"</v>
      </c>
      <c r="E80" s="13">
        <f ca="1">IFERROR(__xludf.DUMMYFUNCTION("""COMPUTED_VALUE"""),5)</f>
        <v>5</v>
      </c>
      <c r="F80" s="13" t="str">
        <f ca="1">IFERROR(__xludf.DUMMYFUNCTION("""COMPUTED_VALUE"""),"Постнова Ольга Вениаминовна")</f>
        <v>Постнова Ольга Вениаминовна</v>
      </c>
      <c r="G80" s="91">
        <f ca="1">IFERROR(__xludf.DUMMYFUNCTION("""COMPUTED_VALUE"""),4)</f>
        <v>4</v>
      </c>
      <c r="H80" s="91">
        <f ca="1">IFERROR(__xludf.DUMMYFUNCTION("""COMPUTED_VALUE"""),6)</f>
        <v>6</v>
      </c>
      <c r="I80" s="91">
        <f ca="1">IFERROR(__xludf.DUMMYFUNCTION("""COMPUTED_VALUE"""),5)</f>
        <v>5</v>
      </c>
      <c r="J80" s="91">
        <v>7</v>
      </c>
      <c r="K80" s="91"/>
      <c r="L80" s="91"/>
      <c r="M80" s="91">
        <f ca="1">IFERROR(__xludf.DUMMYFUNCTION("""COMPUTED_VALUE"""),22)</f>
        <v>22</v>
      </c>
      <c r="N80" s="15"/>
      <c r="O80" s="91">
        <f t="shared" ca="1" si="1"/>
        <v>22</v>
      </c>
      <c r="P80" s="91">
        <v>74</v>
      </c>
      <c r="Q80" s="76" t="s">
        <v>88</v>
      </c>
    </row>
    <row r="81" spans="1:17" ht="12.75" x14ac:dyDescent="0.2">
      <c r="A81" s="12">
        <v>75</v>
      </c>
      <c r="B81" s="18" t="str">
        <f ca="1">IFERROR(__xludf.DUMMYFUNCTION("IMPORTRANGE(""https://docs.google.com/spreadsheets/d/16CWr8ky6L0i1S4UOLMYHizeHS6aZnIDEnQPyRJyTpcI/edit#gid=0"", ""СОШ п. им. К.Маркса!B8:O12"")"),"Кожевникова Вера Петровна")</f>
        <v>Кожевникова Вера Петровна</v>
      </c>
      <c r="C81" s="13"/>
      <c r="D81" s="24" t="str">
        <f ca="1">IFERROR(__xludf.DUMMYFUNCTION("""COMPUTED_VALUE"""),"МОУ ""СОШ п. им. К. Маркса""")</f>
        <v>МОУ "СОШ п. им. К. Маркса"</v>
      </c>
      <c r="E81" s="13">
        <f ca="1">IFERROR(__xludf.DUMMYFUNCTION("""COMPUTED_VALUE"""),5)</f>
        <v>5</v>
      </c>
      <c r="F81" s="13" t="str">
        <f ca="1">IFERROR(__xludf.DUMMYFUNCTION("""COMPUTED_VALUE"""),"Постнова Ольга Вениаминовна")</f>
        <v>Постнова Ольга Вениаминовна</v>
      </c>
      <c r="G81" s="91">
        <f ca="1">IFERROR(__xludf.DUMMYFUNCTION("""COMPUTED_VALUE"""),4)</f>
        <v>4</v>
      </c>
      <c r="H81" s="91">
        <f ca="1">IFERROR(__xludf.DUMMYFUNCTION("""COMPUTED_VALUE"""),2)</f>
        <v>2</v>
      </c>
      <c r="I81" s="91">
        <f ca="1">IFERROR(__xludf.DUMMYFUNCTION("""COMPUTED_VALUE"""),6)</f>
        <v>6</v>
      </c>
      <c r="J81" s="91">
        <v>10</v>
      </c>
      <c r="K81" s="91"/>
      <c r="L81" s="91"/>
      <c r="M81" s="91">
        <f ca="1">IFERROR(__xludf.DUMMYFUNCTION("""COMPUTED_VALUE"""),22)</f>
        <v>22</v>
      </c>
      <c r="N81" s="15"/>
      <c r="O81" s="91">
        <f t="shared" ca="1" si="1"/>
        <v>22</v>
      </c>
      <c r="P81" s="91">
        <v>75</v>
      </c>
      <c r="Q81" s="76" t="s">
        <v>88</v>
      </c>
    </row>
    <row r="82" spans="1:17" ht="12.75" x14ac:dyDescent="0.2">
      <c r="A82" s="12">
        <v>76</v>
      </c>
      <c r="B82" s="19" t="str">
        <f ca="1">IFERROR(__xludf.DUMMYFUNCTION("IMPORTRANGE(""https://docs.google.com/spreadsheets/d/16CWr8ky6L0i1S4UOLMYHizeHS6aZnIDEnQPyRJyTpcI/edit#gid=0"", ""СОШ п. им. К.Маркса!B8:O12"")"),"Кожевникова Вера Петровна")</f>
        <v>Кожевникова Вера Петровна</v>
      </c>
      <c r="C82" s="13"/>
      <c r="D82" s="24" t="str">
        <f ca="1">IFERROR(__xludf.DUMMYFUNCTION("""COMPUTED_VALUE"""),"МОУ ""СОШ п. им. К. Маркса""")</f>
        <v>МОУ "СОШ п. им. К. Маркса"</v>
      </c>
      <c r="E82" s="13">
        <f ca="1">IFERROR(__xludf.DUMMYFUNCTION("""COMPUTED_VALUE"""),5)</f>
        <v>5</v>
      </c>
      <c r="F82" s="13" t="str">
        <f ca="1">IFERROR(__xludf.DUMMYFUNCTION("""COMPUTED_VALUE"""),"Постнова Ольга Вениаминовна")</f>
        <v>Постнова Ольга Вениаминовна</v>
      </c>
      <c r="G82" s="91">
        <f ca="1">IFERROR(__xludf.DUMMYFUNCTION("""COMPUTED_VALUE"""),4)</f>
        <v>4</v>
      </c>
      <c r="H82" s="91">
        <f ca="1">IFERROR(__xludf.DUMMYFUNCTION("""COMPUTED_VALUE"""),2)</f>
        <v>2</v>
      </c>
      <c r="I82" s="91">
        <f ca="1">IFERROR(__xludf.DUMMYFUNCTION("""COMPUTED_VALUE"""),6)</f>
        <v>6</v>
      </c>
      <c r="J82" s="91">
        <v>10</v>
      </c>
      <c r="K82" s="91"/>
      <c r="L82" s="91"/>
      <c r="M82" s="91">
        <f ca="1">IFERROR(__xludf.DUMMYFUNCTION("""COMPUTED_VALUE"""),22)</f>
        <v>22</v>
      </c>
      <c r="N82" s="15"/>
      <c r="O82" s="91">
        <f t="shared" ca="1" si="1"/>
        <v>22</v>
      </c>
      <c r="P82" s="91">
        <v>76</v>
      </c>
      <c r="Q82" s="76" t="s">
        <v>88</v>
      </c>
    </row>
    <row r="83" spans="1:17" ht="12.75" x14ac:dyDescent="0.2">
      <c r="A83" s="12">
        <v>77</v>
      </c>
      <c r="B83" s="13" t="str">
        <f ca="1">IFERROR(__xludf.DUMMYFUNCTION("""COMPUTED_VALUE"""),"Яхин Михаил Сергеевич")</f>
        <v>Яхин Михаил Сергеевич</v>
      </c>
      <c r="C83" s="13"/>
      <c r="D83" s="24" t="str">
        <f ca="1">IFERROR(__xludf.DUMMYFUNCTION("""COMPUTED_VALUE"""),"МОУ ""СОШ №31""")</f>
        <v>МОУ "СОШ №31"</v>
      </c>
      <c r="E83" s="13">
        <f ca="1">IFERROR(__xludf.DUMMYFUNCTION("""COMPUTED_VALUE"""),5)</f>
        <v>5</v>
      </c>
      <c r="F83" s="13" t="str">
        <f ca="1">IFERROR(__xludf.DUMMYFUNCTION("""COMPUTED_VALUE"""),"Котлярова Евгения Владимировна")</f>
        <v>Котлярова Евгения Владимировна</v>
      </c>
      <c r="G83" s="91">
        <f ca="1">IFERROR(__xludf.DUMMYFUNCTION("""COMPUTED_VALUE"""),4)</f>
        <v>4</v>
      </c>
      <c r="H83" s="91">
        <f ca="1">IFERROR(__xludf.DUMMYFUNCTION("""COMPUTED_VALUE"""),0)</f>
        <v>0</v>
      </c>
      <c r="I83" s="91">
        <f ca="1">IFERROR(__xludf.DUMMYFUNCTION("""COMPUTED_VALUE"""),5)</f>
        <v>5</v>
      </c>
      <c r="J83" s="91">
        <v>13</v>
      </c>
      <c r="K83" s="91"/>
      <c r="L83" s="91"/>
      <c r="M83" s="91">
        <f ca="1">IFERROR(__xludf.DUMMYFUNCTION("""COMPUTED_VALUE"""),22)</f>
        <v>22</v>
      </c>
      <c r="N83" s="15"/>
      <c r="O83" s="91">
        <f t="shared" ca="1" si="1"/>
        <v>22</v>
      </c>
      <c r="P83" s="91">
        <v>77</v>
      </c>
      <c r="Q83" s="76" t="s">
        <v>88</v>
      </c>
    </row>
    <row r="84" spans="1:17" ht="12.75" x14ac:dyDescent="0.2">
      <c r="A84" s="12">
        <v>78</v>
      </c>
      <c r="B84" s="15" t="str">
        <f ca="1">IFERROR(__xludf.DUMMYFUNCTION("""COMPUTED_VALUE"""),"Еськова Анастасия Сергеевна")</f>
        <v>Еськова Анастасия Сергеевна</v>
      </c>
      <c r="C84" s="15"/>
      <c r="D84" s="25" t="str">
        <f ca="1">IFERROR(__xludf.DUMMYFUNCTION("""COMPUTED_VALUE"""),"МОУ ""СОШ №33""")</f>
        <v>МОУ "СОШ №33"</v>
      </c>
      <c r="E84" s="15">
        <f ca="1">IFERROR(__xludf.DUMMYFUNCTION("""COMPUTED_VALUE"""),5)</f>
        <v>5</v>
      </c>
      <c r="F84" s="15" t="str">
        <f ca="1">IFERROR(__xludf.DUMMYFUNCTION("""COMPUTED_VALUE"""),"Чермашенцева Анжела Сергеевна")</f>
        <v>Чермашенцева Анжела Сергеевна</v>
      </c>
      <c r="G84" s="76">
        <f ca="1">IFERROR(__xludf.DUMMYFUNCTION("""COMPUTED_VALUE"""),5)</f>
        <v>5</v>
      </c>
      <c r="H84" s="76">
        <f ca="1">IFERROR(__xludf.DUMMYFUNCTION("""COMPUTED_VALUE"""),4)</f>
        <v>4</v>
      </c>
      <c r="I84" s="76">
        <f ca="1">IFERROR(__xludf.DUMMYFUNCTION("""COMPUTED_VALUE"""),5)</f>
        <v>5</v>
      </c>
      <c r="J84" s="76">
        <f ca="1">IFERROR(__xludf.DUMMYFUNCTION("""COMPUTED_VALUE"""),7)</f>
        <v>7</v>
      </c>
      <c r="K84" s="76"/>
      <c r="L84" s="76"/>
      <c r="M84" s="76">
        <f ca="1">IFERROR(__xludf.DUMMYFUNCTION("""COMPUTED_VALUE"""),21)</f>
        <v>21</v>
      </c>
      <c r="N84" s="14"/>
      <c r="O84" s="91">
        <f t="shared" ca="1" si="1"/>
        <v>21</v>
      </c>
      <c r="P84" s="91">
        <v>78</v>
      </c>
      <c r="Q84" s="76" t="s">
        <v>88</v>
      </c>
    </row>
    <row r="85" spans="1:17" ht="12.75" x14ac:dyDescent="0.2">
      <c r="A85" s="12">
        <v>79</v>
      </c>
      <c r="B85" s="18" t="str">
        <f ca="1">IFERROR(__xludf.DUMMYFUNCTION("IMPORTRANGE(""https://docs.google.com/spreadsheets/d/16CWr8ky6L0i1S4UOLMYHizeHS6aZnIDEnQPyRJyTpcI/edit#gid=0"", ""СОШ №31!B39:O42"")"),"Овчинникова Виктория Александровна")</f>
        <v>Овчинникова Виктория Александровна</v>
      </c>
      <c r="C85" s="13"/>
      <c r="D85" s="24" t="str">
        <f ca="1">IFERROR(__xludf.DUMMYFUNCTION("""COMPUTED_VALUE"""),"МОУ ""СОШ №31""")</f>
        <v>МОУ "СОШ №31"</v>
      </c>
      <c r="E85" s="13">
        <f ca="1">IFERROR(__xludf.DUMMYFUNCTION("""COMPUTED_VALUE"""),5)</f>
        <v>5</v>
      </c>
      <c r="F85" s="13" t="str">
        <f ca="1">IFERROR(__xludf.DUMMYFUNCTION("""COMPUTED_VALUE"""),"Котлярова Евгения Владимировна")</f>
        <v>Котлярова Евгения Владимировна</v>
      </c>
      <c r="G85" s="91">
        <f ca="1">IFERROR(__xludf.DUMMYFUNCTION("""COMPUTED_VALUE"""),4)</f>
        <v>4</v>
      </c>
      <c r="H85" s="91">
        <f ca="1">IFERROR(__xludf.DUMMYFUNCTION("""COMPUTED_VALUE"""),0)</f>
        <v>0</v>
      </c>
      <c r="I85" s="91">
        <f ca="1">IFERROR(__xludf.DUMMYFUNCTION("""COMPUTED_VALUE"""),5)</f>
        <v>5</v>
      </c>
      <c r="J85" s="91">
        <v>12</v>
      </c>
      <c r="K85" s="91"/>
      <c r="L85" s="91"/>
      <c r="M85" s="91">
        <f ca="1">IFERROR(__xludf.DUMMYFUNCTION("""COMPUTED_VALUE"""),21)</f>
        <v>21</v>
      </c>
      <c r="N85" s="15"/>
      <c r="O85" s="91">
        <f t="shared" ca="1" si="1"/>
        <v>21</v>
      </c>
      <c r="P85" s="91">
        <v>79</v>
      </c>
      <c r="Q85" s="76" t="s">
        <v>88</v>
      </c>
    </row>
    <row r="86" spans="1:17" ht="12.75" x14ac:dyDescent="0.2">
      <c r="A86" s="12">
        <v>80</v>
      </c>
      <c r="B86" s="15" t="str">
        <f ca="1">IFERROR(__xludf.DUMMYFUNCTION("""COMPUTED_VALUE"""),"Черевко Михаил Юрьевич")</f>
        <v>Черевко Михаил Юрьевич</v>
      </c>
      <c r="C86" s="15"/>
      <c r="D86" s="25" t="str">
        <f ca="1">IFERROR(__xludf.DUMMYFUNCTION("""COMPUTED_VALUE"""),"МОУ ""СОШ №24""")</f>
        <v>МОУ "СОШ №24"</v>
      </c>
      <c r="E86" s="15">
        <f ca="1">IFERROR(__xludf.DUMMYFUNCTION("""COMPUTED_VALUE"""),5)</f>
        <v>5</v>
      </c>
      <c r="F86" s="15" t="str">
        <f ca="1">IFERROR(__xludf.DUMMYFUNCTION("""COMPUTED_VALUE"""),"Моисеева Татьяна Владимировна")</f>
        <v>Моисеева Татьяна Владимировна</v>
      </c>
      <c r="G86" s="76">
        <f ca="1">IFERROR(__xludf.DUMMYFUNCTION("""COMPUTED_VALUE"""),5)</f>
        <v>5</v>
      </c>
      <c r="H86" s="76">
        <f ca="1">IFERROR(__xludf.DUMMYFUNCTION("""COMPUTED_VALUE"""),8)</f>
        <v>8</v>
      </c>
      <c r="I86" s="76">
        <f ca="1">IFERROR(__xludf.DUMMYFUNCTION("""COMPUTED_VALUE"""),7)</f>
        <v>7</v>
      </c>
      <c r="J86" s="76">
        <f ca="1">IFERROR(__xludf.DUMMYFUNCTION("""COMPUTED_VALUE"""),0)</f>
        <v>0</v>
      </c>
      <c r="K86" s="76"/>
      <c r="L86" s="76"/>
      <c r="M86" s="76">
        <f ca="1">IFERROR(__xludf.DUMMYFUNCTION("""COMPUTED_VALUE"""),20)</f>
        <v>20</v>
      </c>
      <c r="N86" s="14"/>
      <c r="O86" s="91">
        <f t="shared" ca="1" si="1"/>
        <v>20</v>
      </c>
      <c r="P86" s="91">
        <v>80</v>
      </c>
      <c r="Q86" s="76" t="s">
        <v>88</v>
      </c>
    </row>
    <row r="87" spans="1:17" ht="12.75" x14ac:dyDescent="0.2">
      <c r="A87" s="12">
        <v>81</v>
      </c>
      <c r="B87" s="19" t="str">
        <f ca="1">IFERROR(__xludf.DUMMYFUNCTION("IMPORTRANGE(""https://docs.google.com/spreadsheets/d/16CWr8ky6L0i1S4UOLMYHizeHS6aZnIDEnQPyRJyTpcI/edit#gid=0"", ""СОШ п. Придорожный!B3:O7"")"),"Мельситов Александр Константинович")</f>
        <v>Мельситов Александр Константинович</v>
      </c>
      <c r="C87" s="13"/>
      <c r="D87" s="24" t="str">
        <f ca="1">IFERROR(__xludf.DUMMYFUNCTION("""COMPUTED_VALUE"""),"МОУ ""СОШ п. Придорожный""")</f>
        <v>МОУ "СОШ п. Придорожный"</v>
      </c>
      <c r="E87" s="13">
        <f ca="1">IFERROR(__xludf.DUMMYFUNCTION("""COMPUTED_VALUE"""),5)</f>
        <v>5</v>
      </c>
      <c r="F87" s="13" t="str">
        <f ca="1">IFERROR(__xludf.DUMMYFUNCTION("""COMPUTED_VALUE"""),"Демешко Екатерина Валерьевна")</f>
        <v>Демешко Екатерина Валерьевна</v>
      </c>
      <c r="G87" s="91">
        <f ca="1">IFERROR(__xludf.DUMMYFUNCTION("""COMPUTED_VALUE"""),2)</f>
        <v>2</v>
      </c>
      <c r="H87" s="91">
        <f ca="1">IFERROR(__xludf.DUMMYFUNCTION("""COMPUTED_VALUE"""),1)</f>
        <v>1</v>
      </c>
      <c r="I87" s="91">
        <f ca="1">IFERROR(__xludf.DUMMYFUNCTION("""COMPUTED_VALUE"""),7)</f>
        <v>7</v>
      </c>
      <c r="J87" s="91">
        <v>10</v>
      </c>
      <c r="K87" s="91"/>
      <c r="L87" s="91"/>
      <c r="M87" s="91">
        <f ca="1">IFERROR(__xludf.DUMMYFUNCTION("""COMPUTED_VALUE"""),20)</f>
        <v>20</v>
      </c>
      <c r="N87" s="15"/>
      <c r="O87" s="91">
        <f t="shared" ca="1" si="1"/>
        <v>20</v>
      </c>
      <c r="P87" s="91">
        <v>81</v>
      </c>
      <c r="Q87" s="76" t="s">
        <v>88</v>
      </c>
    </row>
    <row r="88" spans="1:17" ht="12.75" x14ac:dyDescent="0.2">
      <c r="A88" s="12">
        <v>82</v>
      </c>
      <c r="B88" s="15" t="str">
        <f ca="1">IFERROR(__xludf.DUMMYFUNCTION("""COMPUTED_VALUE"""),"Рунов Дмитрий Алексеевич")</f>
        <v>Рунов Дмитрий Алексеевич</v>
      </c>
      <c r="C88" s="15"/>
      <c r="D88" s="25" t="str">
        <f ca="1">IFERROR(__xludf.DUMMYFUNCTION("""COMPUTED_VALUE"""),"МОУ ""СОШ им. Ю.А. Гагарина """)</f>
        <v>МОУ "СОШ им. Ю.А. Гагарина "</v>
      </c>
      <c r="E88" s="15">
        <f ca="1">IFERROR(__xludf.DUMMYFUNCTION("""COMPUTED_VALUE"""),5)</f>
        <v>5</v>
      </c>
      <c r="F88" s="15" t="str">
        <f ca="1">IFERROR(__xludf.DUMMYFUNCTION("""COMPUTED_VALUE"""),"Павлова Лариса Сергеевна")</f>
        <v>Павлова Лариса Сергеевна</v>
      </c>
      <c r="G88" s="76">
        <f ca="1">IFERROR(__xludf.DUMMYFUNCTION("""COMPUTED_VALUE"""),4)</f>
        <v>4</v>
      </c>
      <c r="H88" s="76">
        <f ca="1">IFERROR(__xludf.DUMMYFUNCTION("""COMPUTED_VALUE"""),8)</f>
        <v>8</v>
      </c>
      <c r="I88" s="76">
        <f ca="1">IFERROR(__xludf.DUMMYFUNCTION("""COMPUTED_VALUE"""),4)</f>
        <v>4</v>
      </c>
      <c r="J88" s="76">
        <f ca="1">IFERROR(__xludf.DUMMYFUNCTION("""COMPUTED_VALUE"""),2)</f>
        <v>2</v>
      </c>
      <c r="K88" s="76"/>
      <c r="L88" s="76"/>
      <c r="M88" s="76">
        <f ca="1">IFERROR(__xludf.DUMMYFUNCTION("""COMPUTED_VALUE"""),18)</f>
        <v>18</v>
      </c>
      <c r="N88" s="14"/>
      <c r="O88" s="91">
        <f t="shared" ca="1" si="1"/>
        <v>18</v>
      </c>
      <c r="P88" s="91">
        <v>82</v>
      </c>
      <c r="Q88" s="76" t="s">
        <v>88</v>
      </c>
    </row>
    <row r="89" spans="1:17" ht="12.75" x14ac:dyDescent="0.2">
      <c r="A89" s="12">
        <v>83</v>
      </c>
      <c r="B89" s="15" t="str">
        <f ca="1">IFERROR(__xludf.DUMMYFUNCTION("""COMPUTED_VALUE"""),"Тарасова Яна Алексеевна")</f>
        <v>Тарасова Яна Алексеевна</v>
      </c>
      <c r="C89" s="15"/>
      <c r="D89" s="25" t="str">
        <f ca="1">IFERROR(__xludf.DUMMYFUNCTION("""COMPUTED_VALUE"""),"МОУ ""СОШ №33""")</f>
        <v>МОУ "СОШ №33"</v>
      </c>
      <c r="E89" s="15">
        <f ca="1">IFERROR(__xludf.DUMMYFUNCTION("""COMPUTED_VALUE"""),5)</f>
        <v>5</v>
      </c>
      <c r="F89" s="15" t="str">
        <f ca="1">IFERROR(__xludf.DUMMYFUNCTION("""COMPUTED_VALUE"""),"Сибряева Надежда Васильевна")</f>
        <v>Сибряева Надежда Васильевна</v>
      </c>
      <c r="G89" s="76">
        <f ca="1">IFERROR(__xludf.DUMMYFUNCTION("""COMPUTED_VALUE"""),6)</f>
        <v>6</v>
      </c>
      <c r="H89" s="76">
        <f ca="1">IFERROR(__xludf.DUMMYFUNCTION("""COMPUTED_VALUE"""),0)</f>
        <v>0</v>
      </c>
      <c r="I89" s="76">
        <f ca="1">IFERROR(__xludf.DUMMYFUNCTION("""COMPUTED_VALUE"""),6)</f>
        <v>6</v>
      </c>
      <c r="J89" s="76">
        <f ca="1">IFERROR(__xludf.DUMMYFUNCTION("""COMPUTED_VALUE"""),5)</f>
        <v>5</v>
      </c>
      <c r="K89" s="76"/>
      <c r="L89" s="76"/>
      <c r="M89" s="76">
        <f ca="1">IFERROR(__xludf.DUMMYFUNCTION("""COMPUTED_VALUE"""),17)</f>
        <v>17</v>
      </c>
      <c r="N89" s="14"/>
      <c r="O89" s="91">
        <f t="shared" ca="1" si="1"/>
        <v>17</v>
      </c>
      <c r="P89" s="91">
        <v>83</v>
      </c>
      <c r="Q89" s="76" t="s">
        <v>88</v>
      </c>
    </row>
    <row r="90" spans="1:17" ht="12.75" x14ac:dyDescent="0.2">
      <c r="A90" s="12">
        <v>84</v>
      </c>
      <c r="B90" s="15" t="str">
        <f ca="1">IFERROR(__xludf.DUMMYFUNCTION("""COMPUTED_VALUE"""),"Захаров Даниил Витальевич")</f>
        <v>Захаров Даниил Витальевич</v>
      </c>
      <c r="C90" s="15"/>
      <c r="D90" s="25" t="str">
        <f ca="1">IFERROR(__xludf.DUMMYFUNCTION("""COMPUTED_VALUE"""),"МОУ ""СОШ им. Ю.А. Гагарина """)</f>
        <v>МОУ "СОШ им. Ю.А. Гагарина "</v>
      </c>
      <c r="E90" s="15">
        <f ca="1">IFERROR(__xludf.DUMMYFUNCTION("""COMPUTED_VALUE"""),5)</f>
        <v>5</v>
      </c>
      <c r="F90" s="15" t="str">
        <f ca="1">IFERROR(__xludf.DUMMYFUNCTION("""COMPUTED_VALUE"""),"Павлова Лариса Сергеевна")</f>
        <v>Павлова Лариса Сергеевна</v>
      </c>
      <c r="G90" s="76">
        <f ca="1">IFERROR(__xludf.DUMMYFUNCTION("""COMPUTED_VALUE"""),1)</f>
        <v>1</v>
      </c>
      <c r="H90" s="76">
        <f ca="1">IFERROR(__xludf.DUMMYFUNCTION("""COMPUTED_VALUE"""),4)</f>
        <v>4</v>
      </c>
      <c r="I90" s="76">
        <f ca="1">IFERROR(__xludf.DUMMYFUNCTION("""COMPUTED_VALUE"""),6)</f>
        <v>6</v>
      </c>
      <c r="J90" s="76">
        <f ca="1">IFERROR(__xludf.DUMMYFUNCTION("""COMPUTED_VALUE"""),4)</f>
        <v>4</v>
      </c>
      <c r="K90" s="76"/>
      <c r="L90" s="76"/>
      <c r="M90" s="76">
        <f ca="1">IFERROR(__xludf.DUMMYFUNCTION("""COMPUTED_VALUE"""),15)</f>
        <v>15</v>
      </c>
      <c r="N90" s="14"/>
      <c r="O90" s="91">
        <f t="shared" ca="1" si="1"/>
        <v>15</v>
      </c>
      <c r="P90" s="91">
        <v>84</v>
      </c>
      <c r="Q90" s="76" t="s">
        <v>88</v>
      </c>
    </row>
    <row r="91" spans="1:17" ht="12.75" x14ac:dyDescent="0.2">
      <c r="A91" s="12">
        <v>85</v>
      </c>
      <c r="B91" s="13" t="str">
        <f ca="1">IFERROR(__xludf.DUMMYFUNCTION("""COMPUTED_VALUE"""),"Лесникова Алиса Александровна")</f>
        <v>Лесникова Алиса Александровна</v>
      </c>
      <c r="C91" s="13"/>
      <c r="D91" s="24" t="str">
        <f ca="1">IFERROR(__xludf.DUMMYFUNCTION("""COMPUTED_VALUE"""),"МОУ ""СОШ им. Ю.А. Гагарина """)</f>
        <v>МОУ "СОШ им. Ю.А. Гагарина "</v>
      </c>
      <c r="E91" s="13">
        <f ca="1">IFERROR(__xludf.DUMMYFUNCTION("""COMPUTED_VALUE"""),5)</f>
        <v>5</v>
      </c>
      <c r="F91" s="13" t="str">
        <f ca="1">IFERROR(__xludf.DUMMYFUNCTION("""COMPUTED_VALUE"""),"Павлова Лариса Сергеевна")</f>
        <v>Павлова Лариса Сергеевна</v>
      </c>
      <c r="G91" s="91">
        <f ca="1">IFERROR(__xludf.DUMMYFUNCTION("""COMPUTED_VALUE"""),2)</f>
        <v>2</v>
      </c>
      <c r="H91" s="91">
        <f ca="1">IFERROR(__xludf.DUMMYFUNCTION("""COMPUTED_VALUE"""),2)</f>
        <v>2</v>
      </c>
      <c r="I91" s="91">
        <f ca="1">IFERROR(__xludf.DUMMYFUNCTION("""COMPUTED_VALUE"""),5)</f>
        <v>5</v>
      </c>
      <c r="J91" s="91">
        <f ca="1">IFERROR(__xludf.DUMMYFUNCTION("""COMPUTED_VALUE"""),6)</f>
        <v>6</v>
      </c>
      <c r="K91" s="91"/>
      <c r="L91" s="91"/>
      <c r="M91" s="91">
        <f ca="1">IFERROR(__xludf.DUMMYFUNCTION("""COMPUTED_VALUE"""),15)</f>
        <v>15</v>
      </c>
      <c r="N91" s="14"/>
      <c r="O91" s="91">
        <f t="shared" ca="1" si="1"/>
        <v>15</v>
      </c>
      <c r="P91" s="91">
        <v>85</v>
      </c>
      <c r="Q91" s="76" t="s">
        <v>88</v>
      </c>
    </row>
    <row r="92" spans="1:17" ht="12.75" x14ac:dyDescent="0.2">
      <c r="A92" s="12">
        <v>86</v>
      </c>
      <c r="B92" s="16" t="str">
        <f ca="1">IFERROR(__xludf.DUMMYFUNCTION("""COMPUTED_VALUE"""),"Михайленко Станислав Валерьевич")</f>
        <v>Михайленко Станислав Валерьевич</v>
      </c>
      <c r="C92" s="13"/>
      <c r="D92" s="24" t="str">
        <f ca="1">IFERROR(__xludf.DUMMYFUNCTION("""COMPUTED_VALUE"""),"МОУ ""СОШ им. Ю.А. Гагарина """)</f>
        <v>МОУ "СОШ им. Ю.А. Гагарина "</v>
      </c>
      <c r="E92" s="13">
        <f ca="1">IFERROR(__xludf.DUMMYFUNCTION("""COMPUTED_VALUE"""),5)</f>
        <v>5</v>
      </c>
      <c r="F92" s="13" t="str">
        <f ca="1">IFERROR(__xludf.DUMMYFUNCTION("""COMPUTED_VALUE"""),"Павлова Лариса Сергеевна")</f>
        <v>Павлова Лариса Сергеевна</v>
      </c>
      <c r="G92" s="91">
        <f ca="1">IFERROR(__xludf.DUMMYFUNCTION("""COMPUTED_VALUE"""),2)</f>
        <v>2</v>
      </c>
      <c r="H92" s="91">
        <f ca="1">IFERROR(__xludf.DUMMYFUNCTION("""COMPUTED_VALUE"""),2)</f>
        <v>2</v>
      </c>
      <c r="I92" s="91">
        <f ca="1">IFERROR(__xludf.DUMMYFUNCTION("""COMPUTED_VALUE"""),8)</f>
        <v>8</v>
      </c>
      <c r="J92" s="91">
        <f ca="1">IFERROR(__xludf.DUMMYFUNCTION("""COMPUTED_VALUE"""),3)</f>
        <v>3</v>
      </c>
      <c r="K92" s="91"/>
      <c r="L92" s="91"/>
      <c r="M92" s="91">
        <f ca="1">IFERROR(__xludf.DUMMYFUNCTION("""COMPUTED_VALUE"""),15)</f>
        <v>15</v>
      </c>
      <c r="N92" s="14"/>
      <c r="O92" s="91">
        <f t="shared" ca="1" si="1"/>
        <v>15</v>
      </c>
      <c r="P92" s="91">
        <v>86</v>
      </c>
      <c r="Q92" s="76" t="s">
        <v>88</v>
      </c>
    </row>
    <row r="93" spans="1:17" ht="12.75" x14ac:dyDescent="0.2">
      <c r="A93" s="12">
        <v>87</v>
      </c>
      <c r="B93" s="13" t="str">
        <f ca="1">IFERROR(__xludf.DUMMYFUNCTION("""COMPUTED_VALUE"""),"Черемухина Дарья Денисовна")</f>
        <v>Черемухина Дарья Денисовна</v>
      </c>
      <c r="C93" s="13"/>
      <c r="D93" s="24" t="str">
        <f ca="1">IFERROR(__xludf.DUMMYFUNCTION("""COMPUTED_VALUE"""),"МОУ ""СОШ п. Придорожный""")</f>
        <v>МОУ "СОШ п. Придорожный"</v>
      </c>
      <c r="E93" s="13">
        <f ca="1">IFERROR(__xludf.DUMMYFUNCTION("""COMPUTED_VALUE"""),5)</f>
        <v>5</v>
      </c>
      <c r="F93" s="13" t="str">
        <f ca="1">IFERROR(__xludf.DUMMYFUNCTION("""COMPUTED_VALUE"""),"Демешко Екатерина Валерьевна")</f>
        <v>Демешко Екатерина Валерьевна</v>
      </c>
      <c r="G93" s="91">
        <f ca="1">IFERROR(__xludf.DUMMYFUNCTION("""COMPUTED_VALUE"""),4)</f>
        <v>4</v>
      </c>
      <c r="H93" s="91">
        <f ca="1">IFERROR(__xludf.DUMMYFUNCTION("""COMPUTED_VALUE"""),2)</f>
        <v>2</v>
      </c>
      <c r="I93" s="91">
        <f ca="1">IFERROR(__xludf.DUMMYFUNCTION("""COMPUTED_VALUE"""),3)</f>
        <v>3</v>
      </c>
      <c r="J93" s="91">
        <v>5</v>
      </c>
      <c r="K93" s="91"/>
      <c r="L93" s="91"/>
      <c r="M93" s="91">
        <f ca="1">IFERROR(__xludf.DUMMYFUNCTION("""COMPUTED_VALUE"""),14)</f>
        <v>14</v>
      </c>
      <c r="N93" s="15"/>
      <c r="O93" s="91">
        <f t="shared" ca="1" si="1"/>
        <v>14</v>
      </c>
      <c r="P93" s="91">
        <v>87</v>
      </c>
      <c r="Q93" s="76" t="s">
        <v>88</v>
      </c>
    </row>
    <row r="94" spans="1:17" ht="12.75" x14ac:dyDescent="0.2">
      <c r="A94" s="12">
        <v>88</v>
      </c>
      <c r="B94" s="13" t="str">
        <f ca="1">IFERROR(__xludf.DUMMYFUNCTION("""COMPUTED_VALUE"""),"Шумакаев Адиль Ринатович")</f>
        <v>Шумакаев Адиль Ринатович</v>
      </c>
      <c r="C94" s="13"/>
      <c r="D94" s="24" t="str">
        <f ca="1">IFERROR(__xludf.DUMMYFUNCTION("""COMPUTED_VALUE"""),"МОУ ""СОШ п. Придорожный""")</f>
        <v>МОУ "СОШ п. Придорожный"</v>
      </c>
      <c r="E94" s="13">
        <f ca="1">IFERROR(__xludf.DUMMYFUNCTION("""COMPUTED_VALUE"""),5)</f>
        <v>5</v>
      </c>
      <c r="F94" s="13" t="str">
        <f ca="1">IFERROR(__xludf.DUMMYFUNCTION("""COMPUTED_VALUE"""),"Демешко Екатерина Валерьевна")</f>
        <v>Демешко Екатерина Валерьевна</v>
      </c>
      <c r="G94" s="91">
        <f ca="1">IFERROR(__xludf.DUMMYFUNCTION("""COMPUTED_VALUE"""),2)</f>
        <v>2</v>
      </c>
      <c r="H94" s="91">
        <f ca="1">IFERROR(__xludf.DUMMYFUNCTION("""COMPUTED_VALUE"""),2)</f>
        <v>2</v>
      </c>
      <c r="I94" s="91">
        <f ca="1">IFERROR(__xludf.DUMMYFUNCTION("""COMPUTED_VALUE"""),8)</f>
        <v>8</v>
      </c>
      <c r="J94" s="91">
        <f ca="1">IFERROR(__xludf.DUMMYFUNCTION("""COMPUTED_VALUE"""),0)</f>
        <v>0</v>
      </c>
      <c r="K94" s="91"/>
      <c r="L94" s="91"/>
      <c r="M94" s="91">
        <f ca="1">IFERROR(__xludf.DUMMYFUNCTION("""COMPUTED_VALUE"""),12)</f>
        <v>12</v>
      </c>
      <c r="N94" s="15"/>
      <c r="O94" s="91">
        <f t="shared" ca="1" si="1"/>
        <v>12</v>
      </c>
      <c r="P94" s="91">
        <v>88</v>
      </c>
      <c r="Q94" s="76" t="s">
        <v>88</v>
      </c>
    </row>
    <row r="95" spans="1:17" ht="12.75" x14ac:dyDescent="0.2">
      <c r="A95" s="12">
        <v>89</v>
      </c>
      <c r="B95" s="13" t="str">
        <f ca="1">IFERROR(__xludf.DUMMYFUNCTION("""COMPUTED_VALUE"""),"Савельев Кирилл Александрович")</f>
        <v>Савельев Кирилл Александрович</v>
      </c>
      <c r="C95" s="13"/>
      <c r="D95" s="24" t="str">
        <f ca="1">IFERROR(__xludf.DUMMYFUNCTION("""COMPUTED_VALUE"""),"МОУ ""СОШ п. Придорожный""")</f>
        <v>МОУ "СОШ п. Придорожный"</v>
      </c>
      <c r="E95" s="13">
        <f ca="1">IFERROR(__xludf.DUMMYFUNCTION("""COMPUTED_VALUE"""),5)</f>
        <v>5</v>
      </c>
      <c r="F95" s="13" t="str">
        <f ca="1">IFERROR(__xludf.DUMMYFUNCTION("""COMPUTED_VALUE"""),"Демешко Екатерина Валерьевна")</f>
        <v>Демешко Екатерина Валерьевна</v>
      </c>
      <c r="G95" s="91">
        <f ca="1">IFERROR(__xludf.DUMMYFUNCTION("""COMPUTED_VALUE"""),4)</f>
        <v>4</v>
      </c>
      <c r="H95" s="91">
        <f ca="1">IFERROR(__xludf.DUMMYFUNCTION("""COMPUTED_VALUE"""),3)</f>
        <v>3</v>
      </c>
      <c r="I95" s="91">
        <f ca="1">IFERROR(__xludf.DUMMYFUNCTION("""COMPUTED_VALUE"""),5)</f>
        <v>5</v>
      </c>
      <c r="J95" s="91">
        <f ca="1">IFERROR(__xludf.DUMMYFUNCTION("""COMPUTED_VALUE"""),0)</f>
        <v>0</v>
      </c>
      <c r="K95" s="91"/>
      <c r="L95" s="91"/>
      <c r="M95" s="91">
        <f ca="1">IFERROR(__xludf.DUMMYFUNCTION("""COMPUTED_VALUE"""),12)</f>
        <v>12</v>
      </c>
      <c r="N95" s="15"/>
      <c r="O95" s="91">
        <f t="shared" ca="1" si="1"/>
        <v>12</v>
      </c>
      <c r="P95" s="91">
        <v>89</v>
      </c>
      <c r="Q95" s="76" t="s">
        <v>88</v>
      </c>
    </row>
    <row r="96" spans="1:17" ht="12.75" x14ac:dyDescent="0.2">
      <c r="A96" s="12">
        <v>90</v>
      </c>
      <c r="B96" s="28" t="str">
        <f ca="1">IFERROR(__xludf.DUMMYFUNCTION("""COMPUTED_VALUE"""),"Бабин Илья Андреевич")</f>
        <v>Бабин Илья Андреевич</v>
      </c>
      <c r="C96" s="13"/>
      <c r="D96" s="24" t="str">
        <f ca="1">IFERROR(__xludf.DUMMYFUNCTION("""COMPUTED_VALUE"""),"МОУ ""СОШ им. Ю.А. Гагарина """)</f>
        <v>МОУ "СОШ им. Ю.А. Гагарина "</v>
      </c>
      <c r="E96" s="13">
        <f ca="1">IFERROR(__xludf.DUMMYFUNCTION("""COMPUTED_VALUE"""),5)</f>
        <v>5</v>
      </c>
      <c r="F96" s="13" t="str">
        <f ca="1">IFERROR(__xludf.DUMMYFUNCTION("""COMPUTED_VALUE"""),"Павлова Лариса Сергеевна")</f>
        <v>Павлова Лариса Сергеевна</v>
      </c>
      <c r="G96" s="91">
        <f ca="1">IFERROR(__xludf.DUMMYFUNCTION("""COMPUTED_VALUE"""),2)</f>
        <v>2</v>
      </c>
      <c r="H96" s="91">
        <f ca="1">IFERROR(__xludf.DUMMYFUNCTION("""COMPUTED_VALUE"""),0)</f>
        <v>0</v>
      </c>
      <c r="I96" s="91">
        <f ca="1">IFERROR(__xludf.DUMMYFUNCTION("""COMPUTED_VALUE"""),4)</f>
        <v>4</v>
      </c>
      <c r="J96" s="91">
        <f ca="1">IFERROR(__xludf.DUMMYFUNCTION("""COMPUTED_VALUE"""),6)</f>
        <v>6</v>
      </c>
      <c r="K96" s="91"/>
      <c r="L96" s="91"/>
      <c r="M96" s="91">
        <f ca="1">IFERROR(__xludf.DUMMYFUNCTION("""COMPUTED_VALUE"""),12)</f>
        <v>12</v>
      </c>
      <c r="N96" s="14"/>
      <c r="O96" s="91">
        <f t="shared" ca="1" si="1"/>
        <v>12</v>
      </c>
      <c r="P96" s="91">
        <v>90</v>
      </c>
      <c r="Q96" s="76" t="s">
        <v>88</v>
      </c>
    </row>
    <row r="97" spans="1:17" ht="12.75" x14ac:dyDescent="0.2">
      <c r="A97" s="26">
        <v>91</v>
      </c>
      <c r="B97" s="29" t="str">
        <f ca="1">IFERROR(__xludf.DUMMYFUNCTION("""COMPUTED_VALUE"""),"Тренкина Ульяна Владимировна")</f>
        <v>Тренкина Ульяна Владимировна</v>
      </c>
      <c r="C97" s="27"/>
      <c r="D97" s="24" t="str">
        <f ca="1">IFERROR(__xludf.DUMMYFUNCTION("""COMPUTED_VALUE"""),"МОУ ""СОШ им. Ю.А. Гагарина """)</f>
        <v>МОУ "СОШ им. Ю.А. Гагарина "</v>
      </c>
      <c r="E97" s="13">
        <f ca="1">IFERROR(__xludf.DUMMYFUNCTION("""COMPUTED_VALUE"""),5)</f>
        <v>5</v>
      </c>
      <c r="F97" s="13" t="str">
        <f ca="1">IFERROR(__xludf.DUMMYFUNCTION("""COMPUTED_VALUE"""),"Павлова Лариса Сергеевна")</f>
        <v>Павлова Лариса Сергеевна</v>
      </c>
      <c r="G97" s="91">
        <f ca="1">IFERROR(__xludf.DUMMYFUNCTION("""COMPUTED_VALUE"""),4)</f>
        <v>4</v>
      </c>
      <c r="H97" s="91">
        <f ca="1">IFERROR(__xludf.DUMMYFUNCTION("""COMPUTED_VALUE"""),0)</f>
        <v>0</v>
      </c>
      <c r="I97" s="91">
        <f ca="1">IFERROR(__xludf.DUMMYFUNCTION("""COMPUTED_VALUE"""),5)</f>
        <v>5</v>
      </c>
      <c r="J97" s="91">
        <f ca="1">IFERROR(__xludf.DUMMYFUNCTION("""COMPUTED_VALUE"""),0)</f>
        <v>0</v>
      </c>
      <c r="K97" s="91"/>
      <c r="L97" s="91"/>
      <c r="M97" s="91">
        <f ca="1">IFERROR(__xludf.DUMMYFUNCTION("""COMPUTED_VALUE"""),9)</f>
        <v>9</v>
      </c>
      <c r="N97" s="14"/>
      <c r="O97" s="91">
        <f t="shared" ca="1" si="1"/>
        <v>9</v>
      </c>
      <c r="P97" s="91">
        <v>91</v>
      </c>
      <c r="Q97" s="76" t="s">
        <v>88</v>
      </c>
    </row>
    <row r="98" spans="1:17" ht="15.75" customHeight="1" x14ac:dyDescent="0.2">
      <c r="A98" s="20"/>
    </row>
    <row r="99" spans="1:17" ht="15.75" customHeight="1" x14ac:dyDescent="0.2">
      <c r="A99" s="30" t="s">
        <v>53</v>
      </c>
    </row>
  </sheetData>
  <sortState ref="B3:S328">
    <sortCondition descending="1" ref="M3:M328"/>
  </sortState>
  <mergeCells count="10">
    <mergeCell ref="A2:Q2"/>
    <mergeCell ref="A3:Q3"/>
    <mergeCell ref="A4:Q4"/>
    <mergeCell ref="G5:J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57.28515625" customWidth="1"/>
    <col min="4" max="4" width="21.140625" customWidth="1"/>
    <col min="6" max="6" width="57.2851562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19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19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19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19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19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19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19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19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19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19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19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19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19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19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19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19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19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19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19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19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19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19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19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19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19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19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19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19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19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19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19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19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19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19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19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57.28515625" customWidth="1"/>
    <col min="4" max="4" width="21.140625" customWidth="1"/>
    <col min="6" max="6" width="57.2851562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20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20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20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20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20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20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20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20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20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20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20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20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20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20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20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20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20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20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20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20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20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20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20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20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20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20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20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20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20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20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20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20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20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20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20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57.28515625" customWidth="1"/>
    <col min="4" max="4" width="21.140625" customWidth="1"/>
    <col min="6" max="6" width="57.2851562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21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21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21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21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21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21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21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21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21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21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21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21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21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21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21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21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21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21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21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21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21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21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21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21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21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21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21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21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21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21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21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21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21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21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21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57.28515625" customWidth="1"/>
    <col min="4" max="4" width="21.140625" customWidth="1"/>
    <col min="6" max="6" width="57.2851562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22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22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22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22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22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22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22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22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22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22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22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22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22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22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22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22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22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22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22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22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22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22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22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22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22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22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22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22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22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22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22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22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22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22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22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57.28515625" customWidth="1"/>
    <col min="4" max="4" width="21.140625" customWidth="1"/>
    <col min="6" max="6" width="57.2851562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23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23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23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23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23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23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23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23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23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23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23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23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23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23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23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23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23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23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23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23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23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23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23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23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23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23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23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23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23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23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23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23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23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23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23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24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24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24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24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24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24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24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24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24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24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24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24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24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24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24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24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24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24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24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24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24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24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24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24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24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24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24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24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24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24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24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24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24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24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24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25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25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25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25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25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25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25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25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25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25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25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25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25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25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25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25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25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25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25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25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25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25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25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25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25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25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25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25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25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25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25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25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25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25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25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26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26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26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26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26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26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26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26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26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26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26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26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26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26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26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26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26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26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26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26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26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26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26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26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26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26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26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26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26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26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26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26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26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26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26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27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27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27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27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27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27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27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27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27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27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27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27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27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27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27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27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27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27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27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27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27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27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27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27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27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27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27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27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27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27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27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27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27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27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27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28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28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28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28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28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28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28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28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28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28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28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28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28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28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28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28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28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28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28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28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28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28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28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28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28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28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28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28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28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28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28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28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28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28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28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44"/>
  <sheetViews>
    <sheetView topLeftCell="F1" workbookViewId="0">
      <selection activeCell="R6" sqref="R6:S15"/>
    </sheetView>
  </sheetViews>
  <sheetFormatPr defaultColWidth="14.42578125" defaultRowHeight="15.75" customHeight="1" x14ac:dyDescent="0.2"/>
  <cols>
    <col min="1" max="1" width="7" customWidth="1"/>
    <col min="2" max="2" width="33.85546875" customWidth="1"/>
    <col min="3" max="3" width="13.85546875" customWidth="1"/>
    <col min="4" max="4" width="35.5703125" customWidth="1"/>
    <col min="5" max="5" width="9.85546875" customWidth="1"/>
    <col min="6" max="6" width="34.28515625" customWidth="1"/>
    <col min="7" max="10" width="10.85546875" customWidth="1"/>
    <col min="11" max="12" width="10.85546875" hidden="1" customWidth="1"/>
  </cols>
  <sheetData>
    <row r="1" spans="1:20" s="32" customFormat="1" ht="15.75" customHeight="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20" s="32" customFormat="1" ht="15.75" customHeight="1" x14ac:dyDescent="0.25">
      <c r="A2" s="108" t="s">
        <v>101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20" s="32" customFormat="1" ht="15.75" customHeight="1" x14ac:dyDescent="0.25">
      <c r="A3" s="108" t="s">
        <v>102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20" s="32" customFormat="1" ht="15.75" customHeight="1" x14ac:dyDescent="0.25">
      <c r="A4" s="108" t="s">
        <v>103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20" s="32" customFormat="1" ht="26.25" customHeight="1" x14ac:dyDescent="0.2">
      <c r="A5" s="109" t="s">
        <v>0</v>
      </c>
      <c r="B5" s="109" t="s">
        <v>1</v>
      </c>
      <c r="C5" s="109" t="s">
        <v>2</v>
      </c>
      <c r="D5" s="109" t="s">
        <v>3</v>
      </c>
      <c r="E5" s="109" t="s">
        <v>4</v>
      </c>
      <c r="F5" s="109" t="s">
        <v>5</v>
      </c>
      <c r="G5" s="109" t="s">
        <v>6</v>
      </c>
      <c r="H5" s="110"/>
      <c r="I5" s="110"/>
      <c r="J5" s="110"/>
      <c r="K5" s="22"/>
      <c r="L5" s="22"/>
      <c r="M5" s="23" t="s">
        <v>12</v>
      </c>
      <c r="N5" s="23" t="s">
        <v>8</v>
      </c>
      <c r="O5" s="23" t="s">
        <v>9</v>
      </c>
      <c r="P5" s="23" t="s">
        <v>10</v>
      </c>
      <c r="Q5" s="23" t="s">
        <v>11</v>
      </c>
    </row>
    <row r="6" spans="1:20" s="32" customFormat="1" ht="12.75" x14ac:dyDescent="0.2">
      <c r="A6" s="109"/>
      <c r="B6" s="109"/>
      <c r="C6" s="109"/>
      <c r="D6" s="109"/>
      <c r="E6" s="109"/>
      <c r="F6" s="109"/>
      <c r="G6" s="23" t="s">
        <v>48</v>
      </c>
      <c r="H6" s="23" t="s">
        <v>49</v>
      </c>
      <c r="I6" s="23" t="s">
        <v>50</v>
      </c>
      <c r="J6" s="23" t="s">
        <v>51</v>
      </c>
      <c r="K6" s="23"/>
      <c r="L6" s="23"/>
      <c r="M6" s="23" t="s">
        <v>52</v>
      </c>
      <c r="N6" s="23"/>
      <c r="O6" s="23"/>
      <c r="P6" s="23"/>
      <c r="Q6" s="23"/>
      <c r="R6" s="103" t="s">
        <v>139</v>
      </c>
    </row>
    <row r="7" spans="1:20" ht="12.75" x14ac:dyDescent="0.2">
      <c r="A7" s="86">
        <v>1</v>
      </c>
      <c r="B7" s="74" t="str">
        <f ca="1">IFERROR(__xludf.DUMMYFUNCTION("""COMPUTED_VALUE"""),"Анисимова Полина Алексеевна")</f>
        <v>Анисимова Полина Алексеевна</v>
      </c>
      <c r="C7" s="87"/>
      <c r="D7" s="88" t="str">
        <f ca="1">IFERROR(__xludf.DUMMYFUNCTION("""COMPUTED_VALUE"""),"МОУ ""СОШ №5""")</f>
        <v>МОУ "СОШ №5"</v>
      </c>
      <c r="E7" s="86">
        <f ca="1">IFERROR(__xludf.DUMMYFUNCTION("""COMPUTED_VALUE"""),6)</f>
        <v>6</v>
      </c>
      <c r="F7" s="87" t="str">
        <f ca="1">IFERROR(__xludf.DUMMYFUNCTION("""COMPUTED_VALUE"""),"Мешкова Екатерина Олеговна")</f>
        <v>Мешкова Екатерина Олеговна</v>
      </c>
      <c r="G7" s="86">
        <f ca="1">IFERROR(__xludf.DUMMYFUNCTION("""COMPUTED_VALUE"""),10)</f>
        <v>10</v>
      </c>
      <c r="H7" s="86">
        <f ca="1">IFERROR(__xludf.DUMMYFUNCTION("""COMPUTED_VALUE"""),8)</f>
        <v>8</v>
      </c>
      <c r="I7" s="86">
        <f ca="1">IFERROR(__xludf.DUMMYFUNCTION("""COMPUTED_VALUE"""),8)</f>
        <v>8</v>
      </c>
      <c r="J7" s="86">
        <f ca="1">IFERROR(__xludf.DUMMYFUNCTION("""COMPUTED_VALUE"""),20)</f>
        <v>20</v>
      </c>
      <c r="K7" s="86"/>
      <c r="L7" s="86"/>
      <c r="M7" s="86">
        <f t="shared" ref="M7:M38" ca="1" si="0">SUM(G7:J7)</f>
        <v>46</v>
      </c>
      <c r="N7" s="89"/>
      <c r="O7" s="86">
        <f ca="1">M7</f>
        <v>46</v>
      </c>
      <c r="P7" s="86">
        <v>1</v>
      </c>
      <c r="Q7" s="90" t="s">
        <v>82</v>
      </c>
      <c r="R7" s="30" t="s">
        <v>54</v>
      </c>
      <c r="S7" s="20"/>
      <c r="T7" s="20"/>
    </row>
    <row r="8" spans="1:20" ht="12.75" x14ac:dyDescent="0.2">
      <c r="A8" s="33">
        <v>2</v>
      </c>
      <c r="B8" s="52" t="str">
        <f ca="1">IFERROR(__xludf.DUMMYFUNCTION("""COMPUTED_VALUE"""),"Плотников Павел Викторович")</f>
        <v>Плотников Павел Викторович</v>
      </c>
      <c r="C8" s="53"/>
      <c r="D8" s="54" t="str">
        <f ca="1">IFERROR(__xludf.DUMMYFUNCTION("""COMPUTED_VALUE"""),"МОУ ""СОШ №5""")</f>
        <v>МОУ "СОШ №5"</v>
      </c>
      <c r="E8" s="33">
        <f ca="1">IFERROR(__xludf.DUMMYFUNCTION("""COMPUTED_VALUE"""),6)</f>
        <v>6</v>
      </c>
      <c r="F8" s="53" t="str">
        <f ca="1">IFERROR(__xludf.DUMMYFUNCTION("""COMPUTED_VALUE"""),"Мешкова Екатерина Олеговна")</f>
        <v>Мешкова Екатерина Олеговна</v>
      </c>
      <c r="G8" s="33">
        <f ca="1">IFERROR(__xludf.DUMMYFUNCTION("""COMPUTED_VALUE"""),5)</f>
        <v>5</v>
      </c>
      <c r="H8" s="33">
        <f ca="1">IFERROR(__xludf.DUMMYFUNCTION("""COMPUTED_VALUE"""),10)</f>
        <v>10</v>
      </c>
      <c r="I8" s="33">
        <f ca="1">IFERROR(__xludf.DUMMYFUNCTION("""COMPUTED_VALUE"""),14)</f>
        <v>14</v>
      </c>
      <c r="J8" s="33">
        <f ca="1">IFERROR(__xludf.DUMMYFUNCTION("""COMPUTED_VALUE"""),13)</f>
        <v>13</v>
      </c>
      <c r="K8" s="33"/>
      <c r="L8" s="33"/>
      <c r="M8" s="33">
        <f t="shared" ca="1" si="0"/>
        <v>42</v>
      </c>
      <c r="N8" s="43"/>
      <c r="O8" s="86">
        <f t="shared" ref="O8:O71" ca="1" si="1">M8</f>
        <v>42</v>
      </c>
      <c r="P8" s="33">
        <v>2</v>
      </c>
      <c r="Q8" s="50" t="s">
        <v>82</v>
      </c>
      <c r="R8" s="30" t="s">
        <v>111</v>
      </c>
      <c r="S8" s="20"/>
      <c r="T8" s="20"/>
    </row>
    <row r="9" spans="1:20" ht="12.75" x14ac:dyDescent="0.2">
      <c r="A9" s="33">
        <v>3</v>
      </c>
      <c r="B9" s="52" t="str">
        <f ca="1">IFERROR(__xludf.DUMMYFUNCTION("""COMPUTED_VALUE"""),"Буркова Анастасия Александровна")</f>
        <v>Буркова Анастасия Александровна</v>
      </c>
      <c r="C9" s="53"/>
      <c r="D9" s="54" t="str">
        <f ca="1">IFERROR(__xludf.DUMMYFUNCTION("""COMPUTED_VALUE"""),"МОУ ""СОШ №5""")</f>
        <v>МОУ "СОШ №5"</v>
      </c>
      <c r="E9" s="33">
        <f ca="1">IFERROR(__xludf.DUMMYFUNCTION("""COMPUTED_VALUE"""),6)</f>
        <v>6</v>
      </c>
      <c r="F9" s="53" t="str">
        <f ca="1">IFERROR(__xludf.DUMMYFUNCTION("""COMPUTED_VALUE"""),"Мешкова Екатерина Олеговна")</f>
        <v>Мешкова Екатерина Олеговна</v>
      </c>
      <c r="G9" s="33">
        <f ca="1">IFERROR(__xludf.DUMMYFUNCTION("""COMPUTED_VALUE"""),6)</f>
        <v>6</v>
      </c>
      <c r="H9" s="33">
        <f ca="1">IFERROR(__xludf.DUMMYFUNCTION("""COMPUTED_VALUE"""),6)</f>
        <v>6</v>
      </c>
      <c r="I9" s="33">
        <f ca="1">IFERROR(__xludf.DUMMYFUNCTION("""COMPUTED_VALUE"""),16)</f>
        <v>16</v>
      </c>
      <c r="J9" s="33">
        <f ca="1">IFERROR(__xludf.DUMMYFUNCTION("""COMPUTED_VALUE"""),13)</f>
        <v>13</v>
      </c>
      <c r="K9" s="33"/>
      <c r="L9" s="33"/>
      <c r="M9" s="33">
        <f t="shared" ca="1" si="0"/>
        <v>41</v>
      </c>
      <c r="N9" s="43"/>
      <c r="O9" s="86">
        <f t="shared" ca="1" si="1"/>
        <v>41</v>
      </c>
      <c r="P9" s="86">
        <v>3</v>
      </c>
      <c r="Q9" s="50" t="s">
        <v>82</v>
      </c>
      <c r="R9" s="30" t="s">
        <v>114</v>
      </c>
      <c r="S9" s="20"/>
      <c r="T9" s="20"/>
    </row>
    <row r="10" spans="1:20" ht="12.75" x14ac:dyDescent="0.2">
      <c r="A10" s="33">
        <v>4</v>
      </c>
      <c r="B10" s="55" t="str">
        <f ca="1">IFERROR(__xludf.DUMMYFUNCTION("IMPORTRANGE(""https://docs.google.com/spreadsheets/d/16CWr8ky6L0i1S4UOLMYHizeHS6aZnIDEnQPyRJyTpcI/edit#gid=0"", ""СОШ п. Новопушкинское!B8:O12"")"),"Башкирова Кира Артемовна")</f>
        <v>Башкирова Кира Артемовна</v>
      </c>
      <c r="C10" s="56"/>
      <c r="D10" s="57" t="str">
        <f ca="1">IFERROR(__xludf.DUMMYFUNCTION("""COMPUTED_VALUE"""),"МОУ ""СОШ п. Новопушкинское""")</f>
        <v>МОУ "СОШ п. Новопушкинское"</v>
      </c>
      <c r="E10" s="34">
        <f ca="1">IFERROR(__xludf.DUMMYFUNCTION("""COMPUTED_VALUE"""),6)</f>
        <v>6</v>
      </c>
      <c r="F10" s="56" t="str">
        <f ca="1">IFERROR(__xludf.DUMMYFUNCTION("""COMPUTED_VALUE"""),"Юшенова Лариса Николаевна")</f>
        <v>Юшенова Лариса Николаевна</v>
      </c>
      <c r="G10" s="34">
        <f ca="1">IFERROR(__xludf.DUMMYFUNCTION("""COMPUTED_VALUE"""),8)</f>
        <v>8</v>
      </c>
      <c r="H10" s="34">
        <f ca="1">IFERROR(__xludf.DUMMYFUNCTION("""COMPUTED_VALUE"""),10)</f>
        <v>10</v>
      </c>
      <c r="I10" s="34">
        <f ca="1">IFERROR(__xludf.DUMMYFUNCTION("""COMPUTED_VALUE"""),9)</f>
        <v>9</v>
      </c>
      <c r="J10" s="34">
        <f ca="1">IFERROR(__xludf.DUMMYFUNCTION("""COMPUTED_VALUE"""),14)</f>
        <v>14</v>
      </c>
      <c r="K10" s="34"/>
      <c r="L10" s="34"/>
      <c r="M10" s="33">
        <f t="shared" ca="1" si="0"/>
        <v>41</v>
      </c>
      <c r="N10" s="43"/>
      <c r="O10" s="86">
        <f t="shared" ca="1" si="1"/>
        <v>41</v>
      </c>
      <c r="P10" s="33">
        <v>4</v>
      </c>
      <c r="Q10" s="50" t="s">
        <v>82</v>
      </c>
      <c r="R10" s="20"/>
      <c r="S10" s="20"/>
      <c r="T10" s="20"/>
    </row>
    <row r="11" spans="1:20" ht="12.75" x14ac:dyDescent="0.2">
      <c r="A11" s="33">
        <v>5</v>
      </c>
      <c r="B11" s="52" t="str">
        <f ca="1">IFERROR(__xludf.DUMMYFUNCTION("IMPORTRANGE(""https://docs.google.com/spreadsheets/d/16CWr8ky6L0i1S4UOLMYHizeHS6aZnIDEnQPyRJyTpcI/edit#gid=0"", ""СОШ №33!B8:O12"")"),"Иванова Арина Сергеевна")</f>
        <v>Иванова Арина Сергеевна</v>
      </c>
      <c r="C11" s="53"/>
      <c r="D11" s="54" t="str">
        <f ca="1">IFERROR(__xludf.DUMMYFUNCTION("""COMPUTED_VALUE"""),"МОУ ""СОШ №33""")</f>
        <v>МОУ "СОШ №33"</v>
      </c>
      <c r="E11" s="33">
        <f ca="1">IFERROR(__xludf.DUMMYFUNCTION("""COMPUTED_VALUE"""),6)</f>
        <v>6</v>
      </c>
      <c r="F11" s="53" t="str">
        <f ca="1">IFERROR(__xludf.DUMMYFUNCTION("""COMPUTED_VALUE"""),"Власова Татьяна Станиславовна")</f>
        <v>Власова Татьяна Станиславовна</v>
      </c>
      <c r="G11" s="33">
        <f ca="1">IFERROR(__xludf.DUMMYFUNCTION("""COMPUTED_VALUE"""),9)</f>
        <v>9</v>
      </c>
      <c r="H11" s="33">
        <f ca="1">IFERROR(__xludf.DUMMYFUNCTION("""COMPUTED_VALUE"""),8)</f>
        <v>8</v>
      </c>
      <c r="I11" s="33">
        <f ca="1">IFERROR(__xludf.DUMMYFUNCTION("""COMPUTED_VALUE"""),8)</f>
        <v>8</v>
      </c>
      <c r="J11" s="33">
        <f ca="1">IFERROR(__xludf.DUMMYFUNCTION("""COMPUTED_VALUE"""),15)</f>
        <v>15</v>
      </c>
      <c r="K11" s="33"/>
      <c r="L11" s="33"/>
      <c r="M11" s="33">
        <f t="shared" ca="1" si="0"/>
        <v>40</v>
      </c>
      <c r="N11" s="43"/>
      <c r="O11" s="86">
        <f t="shared" ca="1" si="1"/>
        <v>40</v>
      </c>
      <c r="P11" s="86">
        <v>5</v>
      </c>
      <c r="Q11" s="50" t="s">
        <v>82</v>
      </c>
      <c r="R11" s="75" t="s">
        <v>97</v>
      </c>
      <c r="S11" s="20"/>
      <c r="T11" s="20"/>
    </row>
    <row r="12" spans="1:20" ht="12.75" x14ac:dyDescent="0.2">
      <c r="A12" s="33">
        <v>6</v>
      </c>
      <c r="B12" s="58" t="str">
        <f ca="1">IFERROR(__xludf.DUMMYFUNCTION("""COMPUTED_VALUE"""),"Татьянин Алексей Антонович")</f>
        <v>Татьянин Алексей Антонович</v>
      </c>
      <c r="C12" s="53"/>
      <c r="D12" s="5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12" s="33">
        <f ca="1">IFERROR(__xludf.DUMMYFUNCTION("""COMPUTED_VALUE"""),6)</f>
        <v>6</v>
      </c>
      <c r="F12" s="53" t="str">
        <f ca="1">IFERROR(__xludf.DUMMYFUNCTION("""COMPUTED_VALUE"""),"Новинкина Светлана Габдулловна")</f>
        <v>Новинкина Светлана Габдулловна</v>
      </c>
      <c r="G12" s="33">
        <f ca="1">IFERROR(__xludf.DUMMYFUNCTION("""COMPUTED_VALUE"""),7)</f>
        <v>7</v>
      </c>
      <c r="H12" s="33">
        <f ca="1">IFERROR(__xludf.DUMMYFUNCTION("""COMPUTED_VALUE"""),10)</f>
        <v>10</v>
      </c>
      <c r="I12" s="33">
        <f ca="1">IFERROR(__xludf.DUMMYFUNCTION("""COMPUTED_VALUE"""),10)</f>
        <v>10</v>
      </c>
      <c r="J12" s="33">
        <f ca="1">IFERROR(__xludf.DUMMYFUNCTION("""COMPUTED_VALUE"""),13)</f>
        <v>13</v>
      </c>
      <c r="K12" s="33"/>
      <c r="L12" s="33"/>
      <c r="M12" s="33">
        <f t="shared" ca="1" si="0"/>
        <v>40</v>
      </c>
      <c r="N12" s="43"/>
      <c r="O12" s="86">
        <f t="shared" ca="1" si="1"/>
        <v>40</v>
      </c>
      <c r="P12" s="33">
        <v>6</v>
      </c>
      <c r="Q12" s="50" t="s">
        <v>82</v>
      </c>
      <c r="R12" s="75" t="s">
        <v>98</v>
      </c>
      <c r="S12" s="20"/>
      <c r="T12" s="20"/>
    </row>
    <row r="13" spans="1:20" ht="12.75" x14ac:dyDescent="0.2">
      <c r="A13" s="33">
        <v>7</v>
      </c>
      <c r="B13" s="59" t="str">
        <f ca="1">IFERROR(__xludf.DUMMYFUNCTION("""COMPUTED_VALUE"""),"Умникова Мария Павловна")</f>
        <v>Умникова Мария Павловна</v>
      </c>
      <c r="C13" s="56"/>
      <c r="D13" s="57" t="str">
        <f ca="1">IFERROR(__xludf.DUMMYFUNCTION("""COMPUTED_VALUE"""),"МОУ ""ООШ с. Ленинское""")</f>
        <v>МОУ "ООШ с. Ленинское"</v>
      </c>
      <c r="E13" s="34">
        <f ca="1">IFERROR(__xludf.DUMMYFUNCTION("""COMPUTED_VALUE"""),6)</f>
        <v>6</v>
      </c>
      <c r="F13" s="56" t="str">
        <f ca="1">IFERROR(__xludf.DUMMYFUNCTION("""COMPUTED_VALUE"""),"Савиных Людмила Васильевна")</f>
        <v>Савиных Людмила Васильевна</v>
      </c>
      <c r="G13" s="34">
        <f ca="1">IFERROR(__xludf.DUMMYFUNCTION("""COMPUTED_VALUE"""),10)</f>
        <v>10</v>
      </c>
      <c r="H13" s="34">
        <f ca="1">IFERROR(__xludf.DUMMYFUNCTION("""COMPUTED_VALUE"""),10)</f>
        <v>10</v>
      </c>
      <c r="I13" s="34">
        <f ca="1">IFERROR(__xludf.DUMMYFUNCTION("""COMPUTED_VALUE"""),7)</f>
        <v>7</v>
      </c>
      <c r="J13" s="34">
        <v>13</v>
      </c>
      <c r="K13" s="34"/>
      <c r="L13" s="34"/>
      <c r="M13" s="33">
        <f t="shared" ca="1" si="0"/>
        <v>40</v>
      </c>
      <c r="N13" s="33"/>
      <c r="O13" s="86">
        <f t="shared" ca="1" si="1"/>
        <v>40</v>
      </c>
      <c r="P13" s="86">
        <v>7</v>
      </c>
      <c r="Q13" s="50" t="s">
        <v>82</v>
      </c>
      <c r="R13" s="20"/>
      <c r="S13" s="20"/>
      <c r="T13" s="20"/>
    </row>
    <row r="14" spans="1:20" ht="12.75" x14ac:dyDescent="0.2">
      <c r="A14" s="33">
        <v>8</v>
      </c>
      <c r="B14" s="59" t="str">
        <f ca="1">IFERROR(__xludf.DUMMYFUNCTION("""COMPUTED_VALUE"""),"Ивльев Никита Дмитриевич")</f>
        <v>Ивльев Никита Дмитриевич</v>
      </c>
      <c r="C14" s="56"/>
      <c r="D14" s="57" t="str">
        <f ca="1">IFERROR(__xludf.DUMMYFUNCTION("""COMPUTED_VALUE"""),"МОУ ""СОШ ""Патриот"" с кадетскими классами""")</f>
        <v>МОУ "СОШ "Патриот" с кадетскими классами"</v>
      </c>
      <c r="E14" s="34">
        <f ca="1">IFERROR(__xludf.DUMMYFUNCTION("""COMPUTED_VALUE"""),6)</f>
        <v>6</v>
      </c>
      <c r="F14" s="56" t="str">
        <f ca="1">IFERROR(__xludf.DUMMYFUNCTION("""COMPUTED_VALUE"""),"Новинкина Светлана Габдулловна")</f>
        <v>Новинкина Светлана Габдулловна</v>
      </c>
      <c r="G14" s="34">
        <f ca="1">IFERROR(__xludf.DUMMYFUNCTION("""COMPUTED_VALUE"""),7)</f>
        <v>7</v>
      </c>
      <c r="H14" s="34">
        <f ca="1">IFERROR(__xludf.DUMMYFUNCTION("""COMPUTED_VALUE"""),10)</f>
        <v>10</v>
      </c>
      <c r="I14" s="34">
        <f ca="1">IFERROR(__xludf.DUMMYFUNCTION("""COMPUTED_VALUE"""),9)</f>
        <v>9</v>
      </c>
      <c r="J14" s="34">
        <f ca="1">IFERROR(__xludf.DUMMYFUNCTION("""COMPUTED_VALUE"""),14)</f>
        <v>14</v>
      </c>
      <c r="K14" s="34"/>
      <c r="L14" s="34"/>
      <c r="M14" s="33">
        <f t="shared" ca="1" si="0"/>
        <v>40</v>
      </c>
      <c r="N14" s="43"/>
      <c r="O14" s="86">
        <f t="shared" ca="1" si="1"/>
        <v>40</v>
      </c>
      <c r="P14" s="33">
        <v>8</v>
      </c>
      <c r="Q14" s="50" t="s">
        <v>82</v>
      </c>
      <c r="R14" s="75" t="s">
        <v>115</v>
      </c>
      <c r="S14" s="20">
        <v>27</v>
      </c>
      <c r="T14" s="20"/>
    </row>
    <row r="15" spans="1:20" ht="12.75" x14ac:dyDescent="0.2">
      <c r="A15" s="33">
        <v>9</v>
      </c>
      <c r="B15" s="52" t="str">
        <f ca="1">IFERROR(__xludf.DUMMYFUNCTION("""COMPUTED_VALUE"""),"Малышев Артём Сергеевич")</f>
        <v>Малышев Артём Сергеевич</v>
      </c>
      <c r="C15" s="53"/>
      <c r="D15" s="54" t="str">
        <f ca="1">IFERROR(__xludf.DUMMYFUNCTION("""COMPUTED_VALUE"""),"МОУ ""СОШ №31""")</f>
        <v>МОУ "СОШ №31"</v>
      </c>
      <c r="E15" s="33">
        <f ca="1">IFERROR(__xludf.DUMMYFUNCTION("""COMPUTED_VALUE"""),6)</f>
        <v>6</v>
      </c>
      <c r="F15" s="53" t="str">
        <f ca="1">IFERROR(__xludf.DUMMYFUNCTION("""COMPUTED_VALUE"""),"Котлярова Евгения Владимировна")</f>
        <v>Котлярова Евгения Владимировна</v>
      </c>
      <c r="G15" s="33">
        <f ca="1">IFERROR(__xludf.DUMMYFUNCTION("""COMPUTED_VALUE"""),7)</f>
        <v>7</v>
      </c>
      <c r="H15" s="33">
        <f ca="1">IFERROR(__xludf.DUMMYFUNCTION("""COMPUTED_VALUE"""),10)</f>
        <v>10</v>
      </c>
      <c r="I15" s="33">
        <f ca="1">IFERROR(__xludf.DUMMYFUNCTION("""COMPUTED_VALUE"""),7)</f>
        <v>7</v>
      </c>
      <c r="J15" s="33">
        <v>14</v>
      </c>
      <c r="K15" s="33"/>
      <c r="L15" s="33"/>
      <c r="M15" s="33">
        <f t="shared" ca="1" si="0"/>
        <v>38</v>
      </c>
      <c r="N15" s="33"/>
      <c r="O15" s="86">
        <f t="shared" ca="1" si="1"/>
        <v>38</v>
      </c>
      <c r="P15" s="86">
        <v>9</v>
      </c>
      <c r="Q15" s="50" t="s">
        <v>82</v>
      </c>
      <c r="R15" s="75" t="s">
        <v>116</v>
      </c>
      <c r="S15" s="20">
        <v>99</v>
      </c>
      <c r="T15" s="20"/>
    </row>
    <row r="16" spans="1:20" ht="12.75" x14ac:dyDescent="0.2">
      <c r="A16" s="33">
        <v>10</v>
      </c>
      <c r="B16" s="52" t="str">
        <f ca="1">IFERROR(__xludf.DUMMYFUNCTION("""COMPUTED_VALUE"""),"Пономарева Софья Сергеевна")</f>
        <v>Пономарева Софья Сергеевна</v>
      </c>
      <c r="C16" s="53"/>
      <c r="D16" s="54" t="str">
        <f ca="1">IFERROR(__xludf.DUMMYFUNCTION("""COMPUTED_VALUE"""),"МОУ ""СОШ №33""")</f>
        <v>МОУ "СОШ №33"</v>
      </c>
      <c r="E16" s="33">
        <f ca="1">IFERROR(__xludf.DUMMYFUNCTION("""COMPUTED_VALUE"""),6)</f>
        <v>6</v>
      </c>
      <c r="F16" s="53" t="str">
        <f ca="1">IFERROR(__xludf.DUMMYFUNCTION("""COMPUTED_VALUE"""),"Власова Татьяна Станиславовна")</f>
        <v>Власова Татьяна Станиславовна</v>
      </c>
      <c r="G16" s="33">
        <f ca="1">IFERROR(__xludf.DUMMYFUNCTION("""COMPUTED_VALUE"""),10)</f>
        <v>10</v>
      </c>
      <c r="H16" s="33">
        <f ca="1">IFERROR(__xludf.DUMMYFUNCTION("""COMPUTED_VALUE"""),8)</f>
        <v>8</v>
      </c>
      <c r="I16" s="33">
        <f ca="1">IFERROR(__xludf.DUMMYFUNCTION("""COMPUTED_VALUE"""),7)</f>
        <v>7</v>
      </c>
      <c r="J16" s="33">
        <f ca="1">IFERROR(__xludf.DUMMYFUNCTION("""COMPUTED_VALUE"""),13)</f>
        <v>13</v>
      </c>
      <c r="K16" s="33"/>
      <c r="L16" s="33"/>
      <c r="M16" s="33">
        <f t="shared" ca="1" si="0"/>
        <v>38</v>
      </c>
      <c r="N16" s="43"/>
      <c r="O16" s="86">
        <f t="shared" ca="1" si="1"/>
        <v>38</v>
      </c>
      <c r="P16" s="33">
        <v>10</v>
      </c>
      <c r="Q16" s="50" t="s">
        <v>82</v>
      </c>
      <c r="R16" s="20"/>
      <c r="S16" s="20"/>
      <c r="T16" s="20"/>
    </row>
    <row r="17" spans="1:20" ht="12.75" x14ac:dyDescent="0.2">
      <c r="A17" s="33">
        <v>11</v>
      </c>
      <c r="B17" s="52" t="str">
        <f ca="1">IFERROR(__xludf.DUMMYFUNCTION("""COMPUTED_VALUE"""),"Банникова Кристина Алексеевна")</f>
        <v>Банникова Кристина Алексеевна</v>
      </c>
      <c r="C17" s="53"/>
      <c r="D17" s="54" t="str">
        <f ca="1">IFERROR(__xludf.DUMMYFUNCTION("""COMPUTED_VALUE"""),"МОУ ""СОШ №33""")</f>
        <v>МОУ "СОШ №33"</v>
      </c>
      <c r="E17" s="33">
        <f ca="1">IFERROR(__xludf.DUMMYFUNCTION("""COMPUTED_VALUE"""),6)</f>
        <v>6</v>
      </c>
      <c r="F17" s="53" t="str">
        <f ca="1">IFERROR(__xludf.DUMMYFUNCTION("""COMPUTED_VALUE"""),"Власова Татьяна Станиславовна")</f>
        <v>Власова Татьяна Станиславовна</v>
      </c>
      <c r="G17" s="33">
        <f ca="1">IFERROR(__xludf.DUMMYFUNCTION("""COMPUTED_VALUE"""),8)</f>
        <v>8</v>
      </c>
      <c r="H17" s="33">
        <f ca="1">IFERROR(__xludf.DUMMYFUNCTION("""COMPUTED_VALUE"""),8)</f>
        <v>8</v>
      </c>
      <c r="I17" s="33">
        <f ca="1">IFERROR(__xludf.DUMMYFUNCTION("""COMPUTED_VALUE"""),8)</f>
        <v>8</v>
      </c>
      <c r="J17" s="33">
        <f ca="1">IFERROR(__xludf.DUMMYFUNCTION("""COMPUTED_VALUE"""),14)</f>
        <v>14</v>
      </c>
      <c r="K17" s="33"/>
      <c r="L17" s="33"/>
      <c r="M17" s="33">
        <f t="shared" ca="1" si="0"/>
        <v>38</v>
      </c>
      <c r="N17" s="43"/>
      <c r="O17" s="86">
        <f t="shared" ca="1" si="1"/>
        <v>38</v>
      </c>
      <c r="P17" s="86">
        <v>11</v>
      </c>
      <c r="Q17" s="50" t="s">
        <v>82</v>
      </c>
      <c r="R17" s="20"/>
      <c r="S17" s="20"/>
      <c r="T17" s="20"/>
    </row>
    <row r="18" spans="1:20" ht="12.75" x14ac:dyDescent="0.2">
      <c r="A18" s="33">
        <v>12</v>
      </c>
      <c r="B18" s="59" t="str">
        <f ca="1">IFERROR(__xludf.DUMMYFUNCTION("""COMPUTED_VALUE"""),"Иньков Даниил Антонович")</f>
        <v>Иньков Даниил Антонович</v>
      </c>
      <c r="C18" s="56"/>
      <c r="D18" s="57" t="str">
        <f ca="1">IFERROR(__xludf.DUMMYFUNCTION("""COMPUTED_VALUE"""),"МОУ ""СОШ ""Патриот"" с кадетскими классами""")</f>
        <v>МОУ "СОШ "Патриот" с кадетскими классами"</v>
      </c>
      <c r="E18" s="34">
        <f ca="1">IFERROR(__xludf.DUMMYFUNCTION("""COMPUTED_VALUE"""),6)</f>
        <v>6</v>
      </c>
      <c r="F18" s="56" t="str">
        <f ca="1">IFERROR(__xludf.DUMMYFUNCTION("""COMPUTED_VALUE"""),"Новинкина Светлана Габдулловна")</f>
        <v>Новинкина Светлана Габдулловна</v>
      </c>
      <c r="G18" s="34">
        <f ca="1">IFERROR(__xludf.DUMMYFUNCTION("""COMPUTED_VALUE"""),9)</f>
        <v>9</v>
      </c>
      <c r="H18" s="34">
        <f ca="1">IFERROR(__xludf.DUMMYFUNCTION("""COMPUTED_VALUE"""),8)</f>
        <v>8</v>
      </c>
      <c r="I18" s="34">
        <f ca="1">IFERROR(__xludf.DUMMYFUNCTION("""COMPUTED_VALUE"""),8)</f>
        <v>8</v>
      </c>
      <c r="J18" s="34">
        <f ca="1">IFERROR(__xludf.DUMMYFUNCTION("""COMPUTED_VALUE"""),13)</f>
        <v>13</v>
      </c>
      <c r="K18" s="34"/>
      <c r="L18" s="34"/>
      <c r="M18" s="33">
        <f t="shared" ca="1" si="0"/>
        <v>38</v>
      </c>
      <c r="N18" s="43"/>
      <c r="O18" s="86">
        <f t="shared" ca="1" si="1"/>
        <v>38</v>
      </c>
      <c r="P18" s="33">
        <v>12</v>
      </c>
      <c r="Q18" s="50" t="s">
        <v>82</v>
      </c>
      <c r="R18" s="20"/>
      <c r="S18" s="20"/>
      <c r="T18" s="20"/>
    </row>
    <row r="19" spans="1:20" ht="12.75" x14ac:dyDescent="0.2">
      <c r="A19" s="33">
        <v>13</v>
      </c>
      <c r="B19" s="52" t="str">
        <f ca="1">IFERROR(__xludf.DUMMYFUNCTION("IMPORTRANGE(""https://docs.google.com/spreadsheets/d/16CWr8ky6L0i1S4UOLMYHizeHS6aZnIDEnQPyRJyTpcI/edit#gid=0"", ""СОШ №1!B8:O12"")"),"Шеремет Мария Константиновна")</f>
        <v>Шеремет Мария Константиновна</v>
      </c>
      <c r="C19" s="53"/>
      <c r="D19" s="54" t="str">
        <f ca="1">IFERROR(__xludf.DUMMYFUNCTION("""COMPUTED_VALUE"""),"МОУ ""СОШ №1""")</f>
        <v>МОУ "СОШ №1"</v>
      </c>
      <c r="E19" s="33">
        <f ca="1">IFERROR(__xludf.DUMMYFUNCTION("""COMPUTED_VALUE"""),6)</f>
        <v>6</v>
      </c>
      <c r="F19" s="53" t="str">
        <f ca="1">IFERROR(__xludf.DUMMYFUNCTION("""COMPUTED_VALUE"""),"Решетникова Светлана Евгеньевна")</f>
        <v>Решетникова Светлана Евгеньевна</v>
      </c>
      <c r="G19" s="33">
        <f ca="1">IFERROR(__xludf.DUMMYFUNCTION("""COMPUTED_VALUE"""),7)</f>
        <v>7</v>
      </c>
      <c r="H19" s="33">
        <f ca="1">IFERROR(__xludf.DUMMYFUNCTION("""COMPUTED_VALUE"""),10)</f>
        <v>10</v>
      </c>
      <c r="I19" s="33">
        <f ca="1">IFERROR(__xludf.DUMMYFUNCTION("""COMPUTED_VALUE"""),7)</f>
        <v>7</v>
      </c>
      <c r="J19" s="33">
        <v>13</v>
      </c>
      <c r="K19" s="33"/>
      <c r="L19" s="33"/>
      <c r="M19" s="33">
        <f t="shared" ca="1" si="0"/>
        <v>37</v>
      </c>
      <c r="N19" s="33"/>
      <c r="O19" s="86">
        <f t="shared" ca="1" si="1"/>
        <v>37</v>
      </c>
      <c r="P19" s="86">
        <v>13</v>
      </c>
      <c r="Q19" s="50" t="s">
        <v>82</v>
      </c>
      <c r="R19" s="20"/>
      <c r="S19" s="20"/>
      <c r="T19" s="20"/>
    </row>
    <row r="20" spans="1:20" ht="12.75" x14ac:dyDescent="0.2">
      <c r="A20" s="33">
        <v>14</v>
      </c>
      <c r="B20" s="52" t="str">
        <f ca="1">IFERROR(__xludf.DUMMYFUNCTION("IMPORTRANGE(""https://docs.google.com/spreadsheets/d/16CWr8ky6L0i1S4UOLMYHizeHS6aZnIDEnQPyRJyTpcI/edit#gid=0"", ""СОШ №5!B8:O12"")"),"Федорова Ирина Сергеевна")</f>
        <v>Федорова Ирина Сергеевна</v>
      </c>
      <c r="C20" s="53"/>
      <c r="D20" s="54" t="str">
        <f ca="1">IFERROR(__xludf.DUMMYFUNCTION("""COMPUTED_VALUE"""),"МОУ ""СОШ №5""")</f>
        <v>МОУ "СОШ №5"</v>
      </c>
      <c r="E20" s="33">
        <f ca="1">IFERROR(__xludf.DUMMYFUNCTION("""COMPUTED_VALUE"""),6)</f>
        <v>6</v>
      </c>
      <c r="F20" s="53" t="str">
        <f ca="1">IFERROR(__xludf.DUMMYFUNCTION("""COMPUTED_VALUE"""),"Мешкова Екатерина Олеговна")</f>
        <v>Мешкова Екатерина Олеговна</v>
      </c>
      <c r="G20" s="33">
        <f ca="1">IFERROR(__xludf.DUMMYFUNCTION("""COMPUTED_VALUE"""),7)</f>
        <v>7</v>
      </c>
      <c r="H20" s="33">
        <f ca="1">IFERROR(__xludf.DUMMYFUNCTION("""COMPUTED_VALUE"""),6)</f>
        <v>6</v>
      </c>
      <c r="I20" s="33">
        <f ca="1">IFERROR(__xludf.DUMMYFUNCTION("""COMPUTED_VALUE"""),14)</f>
        <v>14</v>
      </c>
      <c r="J20" s="33">
        <f ca="1">IFERROR(__xludf.DUMMYFUNCTION("""COMPUTED_VALUE"""),10)</f>
        <v>10</v>
      </c>
      <c r="K20" s="33"/>
      <c r="L20" s="33"/>
      <c r="M20" s="33">
        <f t="shared" ca="1" si="0"/>
        <v>37</v>
      </c>
      <c r="N20" s="43"/>
      <c r="O20" s="86">
        <f t="shared" ca="1" si="1"/>
        <v>37</v>
      </c>
      <c r="P20" s="33">
        <v>14</v>
      </c>
      <c r="Q20" s="50" t="s">
        <v>82</v>
      </c>
      <c r="R20" s="20"/>
      <c r="S20" s="20"/>
      <c r="T20" s="20"/>
    </row>
    <row r="21" spans="1:20" ht="12.75" x14ac:dyDescent="0.2">
      <c r="A21" s="33">
        <v>15</v>
      </c>
      <c r="B21" s="52" t="str">
        <f ca="1">IFERROR(__xludf.DUMMYFUNCTION("""COMPUTED_VALUE"""),"Филиппова Лидия Вадимовна")</f>
        <v>Филиппова Лидия Вадимовна</v>
      </c>
      <c r="C21" s="53"/>
      <c r="D21" s="54" t="str">
        <f ca="1">IFERROR(__xludf.DUMMYFUNCTION("""COMPUTED_VALUE"""),"МОУ ""СОШ им. Ю.А. Гагарина """)</f>
        <v>МОУ "СОШ им. Ю.А. Гагарина "</v>
      </c>
      <c r="E21" s="33">
        <f ca="1">IFERROR(__xludf.DUMMYFUNCTION("""COMPUTED_VALUE"""),6)</f>
        <v>6</v>
      </c>
      <c r="F21" s="53" t="str">
        <f ca="1">IFERROR(__xludf.DUMMYFUNCTION("""COMPUTED_VALUE"""),"Мищенко Ирина Николаевна")</f>
        <v>Мищенко Ирина Николаевна</v>
      </c>
      <c r="G21" s="33">
        <f ca="1">IFERROR(__xludf.DUMMYFUNCTION("""COMPUTED_VALUE"""),5)</f>
        <v>5</v>
      </c>
      <c r="H21" s="33">
        <f ca="1">IFERROR(__xludf.DUMMYFUNCTION("""COMPUTED_VALUE"""),10)</f>
        <v>10</v>
      </c>
      <c r="I21" s="33">
        <f ca="1">IFERROR(__xludf.DUMMYFUNCTION("""COMPUTED_VALUE"""),8)</f>
        <v>8</v>
      </c>
      <c r="J21" s="33">
        <f ca="1">IFERROR(__xludf.DUMMYFUNCTION("""COMPUTED_VALUE"""),14)</f>
        <v>14</v>
      </c>
      <c r="K21" s="33"/>
      <c r="L21" s="33"/>
      <c r="M21" s="33">
        <f t="shared" ca="1" si="0"/>
        <v>37</v>
      </c>
      <c r="N21" s="43"/>
      <c r="O21" s="86">
        <f t="shared" ca="1" si="1"/>
        <v>37</v>
      </c>
      <c r="P21" s="86">
        <v>15</v>
      </c>
      <c r="Q21" s="50" t="s">
        <v>82</v>
      </c>
      <c r="R21" s="20"/>
      <c r="S21" s="20"/>
      <c r="T21" s="20"/>
    </row>
    <row r="22" spans="1:20" ht="12.75" x14ac:dyDescent="0.2">
      <c r="A22" s="33">
        <v>16</v>
      </c>
      <c r="B22" s="52" t="str">
        <f ca="1">IFERROR(__xludf.DUMMYFUNCTION("""COMPUTED_VALUE"""),"Титёкина Карина Артёмовна")</f>
        <v>Титёкина Карина Артёмовна</v>
      </c>
      <c r="C22" s="53"/>
      <c r="D22" s="54" t="str">
        <f ca="1">IFERROR(__xludf.DUMMYFUNCTION("""COMPUTED_VALUE"""),"МОУ ""СОШ №31""")</f>
        <v>МОУ "СОШ №31"</v>
      </c>
      <c r="E22" s="33">
        <f ca="1">IFERROR(__xludf.DUMMYFUNCTION("""COMPUTED_VALUE"""),6)</f>
        <v>6</v>
      </c>
      <c r="F22" s="53" t="str">
        <f ca="1">IFERROR(__xludf.DUMMYFUNCTION("""COMPUTED_VALUE"""),"Котлярова Евгения Владимировна")</f>
        <v>Котлярова Евгения Владимировна</v>
      </c>
      <c r="G22" s="33">
        <f ca="1">IFERROR(__xludf.DUMMYFUNCTION("""COMPUTED_VALUE"""),7)</f>
        <v>7</v>
      </c>
      <c r="H22" s="33">
        <f ca="1">IFERROR(__xludf.DUMMYFUNCTION("""COMPUTED_VALUE"""),8)</f>
        <v>8</v>
      </c>
      <c r="I22" s="33">
        <f ca="1">IFERROR(__xludf.DUMMYFUNCTION("""COMPUTED_VALUE"""),8)</f>
        <v>8</v>
      </c>
      <c r="J22" s="33">
        <v>14</v>
      </c>
      <c r="K22" s="33"/>
      <c r="L22" s="33"/>
      <c r="M22" s="33">
        <f t="shared" ca="1" si="0"/>
        <v>37</v>
      </c>
      <c r="N22" s="33"/>
      <c r="O22" s="86">
        <f t="shared" ca="1" si="1"/>
        <v>37</v>
      </c>
      <c r="P22" s="33">
        <v>16</v>
      </c>
      <c r="Q22" s="50" t="s">
        <v>82</v>
      </c>
      <c r="R22" s="20"/>
      <c r="S22" s="20"/>
      <c r="T22" s="20"/>
    </row>
    <row r="23" spans="1:20" ht="12.75" x14ac:dyDescent="0.2">
      <c r="A23" s="33">
        <v>17</v>
      </c>
      <c r="B23" s="55" t="str">
        <f ca="1">IFERROR(__xludf.DUMMYFUNCTION("IMPORTRANGE(""https://docs.google.com/spreadsheets/d/16CWr8ky6L0i1S4UOLMYHizeHS6aZnIDEnQPyRJyTpcI/edit#gid=0"", ""Патриот!B8:O12"")"),"Григорьева Полина Олеговна")</f>
        <v>Григорьева Полина Олеговна</v>
      </c>
      <c r="C23" s="53"/>
      <c r="D23" s="5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3" s="33">
        <f ca="1">IFERROR(__xludf.DUMMYFUNCTION("""COMPUTED_VALUE"""),6)</f>
        <v>6</v>
      </c>
      <c r="F23" s="53" t="str">
        <f ca="1">IFERROR(__xludf.DUMMYFUNCTION("""COMPUTED_VALUE"""),"Новинкина Светлана Габдулловна")</f>
        <v>Новинкина Светлана Габдулловна</v>
      </c>
      <c r="G23" s="33">
        <f ca="1">IFERROR(__xludf.DUMMYFUNCTION("""COMPUTED_VALUE"""),6)</f>
        <v>6</v>
      </c>
      <c r="H23" s="33">
        <f ca="1">IFERROR(__xludf.DUMMYFUNCTION("""COMPUTED_VALUE"""),8)</f>
        <v>8</v>
      </c>
      <c r="I23" s="33">
        <f ca="1">IFERROR(__xludf.DUMMYFUNCTION("""COMPUTED_VALUE"""),7)</f>
        <v>7</v>
      </c>
      <c r="J23" s="33">
        <f ca="1">IFERROR(__xludf.DUMMYFUNCTION("""COMPUTED_VALUE"""),16)</f>
        <v>16</v>
      </c>
      <c r="K23" s="33"/>
      <c r="L23" s="33"/>
      <c r="M23" s="33">
        <f t="shared" ca="1" si="0"/>
        <v>37</v>
      </c>
      <c r="N23" s="43"/>
      <c r="O23" s="86">
        <f t="shared" ca="1" si="1"/>
        <v>37</v>
      </c>
      <c r="P23" s="86">
        <v>17</v>
      </c>
      <c r="Q23" s="50" t="s">
        <v>82</v>
      </c>
      <c r="R23" s="20"/>
      <c r="S23" s="20"/>
      <c r="T23" s="20"/>
    </row>
    <row r="24" spans="1:20" ht="12.75" x14ac:dyDescent="0.2">
      <c r="A24" s="33">
        <v>18</v>
      </c>
      <c r="B24" s="52" t="str">
        <f ca="1">IFERROR(__xludf.DUMMYFUNCTION("""COMPUTED_VALUE"""),"Востриков Виталий Игоревич")</f>
        <v>Востриков Виталий Игоревич</v>
      </c>
      <c r="C24" s="53"/>
      <c r="D24" s="5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4" s="33">
        <f ca="1">IFERROR(__xludf.DUMMYFUNCTION("""COMPUTED_VALUE"""),6)</f>
        <v>6</v>
      </c>
      <c r="F24" s="53" t="str">
        <f ca="1">IFERROR(__xludf.DUMMYFUNCTION("""COMPUTED_VALUE"""),"Новинкина Светлана Габдулловна")</f>
        <v>Новинкина Светлана Габдулловна</v>
      </c>
      <c r="G24" s="33">
        <f ca="1">IFERROR(__xludf.DUMMYFUNCTION("""COMPUTED_VALUE"""),6)</f>
        <v>6</v>
      </c>
      <c r="H24" s="33">
        <f ca="1">IFERROR(__xludf.DUMMYFUNCTION("""COMPUTED_VALUE"""),8)</f>
        <v>8</v>
      </c>
      <c r="I24" s="33">
        <f ca="1">IFERROR(__xludf.DUMMYFUNCTION("""COMPUTED_VALUE"""),7)</f>
        <v>7</v>
      </c>
      <c r="J24" s="33">
        <f ca="1">IFERROR(__xludf.DUMMYFUNCTION("""COMPUTED_VALUE"""),16)</f>
        <v>16</v>
      </c>
      <c r="K24" s="33"/>
      <c r="L24" s="33"/>
      <c r="M24" s="33">
        <f t="shared" ca="1" si="0"/>
        <v>37</v>
      </c>
      <c r="N24" s="43"/>
      <c r="O24" s="86">
        <f t="shared" ca="1" si="1"/>
        <v>37</v>
      </c>
      <c r="P24" s="33">
        <v>18</v>
      </c>
      <c r="Q24" s="50" t="s">
        <v>82</v>
      </c>
      <c r="R24" s="20"/>
      <c r="S24" s="20"/>
      <c r="T24" s="20"/>
    </row>
    <row r="25" spans="1:20" ht="12.75" x14ac:dyDescent="0.2">
      <c r="A25" s="33">
        <v>19</v>
      </c>
      <c r="B25" s="59" t="str">
        <f ca="1">IFERROR(__xludf.DUMMYFUNCTION("""COMPUTED_VALUE"""),"Друзин Алексей Максимович")</f>
        <v>Друзин Алексей Максимович</v>
      </c>
      <c r="C25" s="56"/>
      <c r="D25" s="57" t="str">
        <f ca="1">IFERROR(__xludf.DUMMYFUNCTION("""COMPUTED_VALUE"""),"МОУ ""СОШ №19""")</f>
        <v>МОУ "СОШ №19"</v>
      </c>
      <c r="E25" s="34">
        <f ca="1">IFERROR(__xludf.DUMMYFUNCTION("""COMPUTED_VALUE"""),6)</f>
        <v>6</v>
      </c>
      <c r="F25" s="56" t="str">
        <f ca="1">IFERROR(__xludf.DUMMYFUNCTION("""COMPUTED_VALUE"""),"Бахтина Татьяна Юрьевна")</f>
        <v>Бахтина Татьяна Юрьевна</v>
      </c>
      <c r="G25" s="34">
        <f ca="1">IFERROR(__xludf.DUMMYFUNCTION("""COMPUTED_VALUE"""),10)</f>
        <v>10</v>
      </c>
      <c r="H25" s="34">
        <f ca="1">IFERROR(__xludf.DUMMYFUNCTION("""COMPUTED_VALUE"""),8)</f>
        <v>8</v>
      </c>
      <c r="I25" s="34">
        <f ca="1">IFERROR(__xludf.DUMMYFUNCTION("""COMPUTED_VALUE"""),9)</f>
        <v>9</v>
      </c>
      <c r="J25" s="34">
        <v>10</v>
      </c>
      <c r="K25" s="34"/>
      <c r="L25" s="34"/>
      <c r="M25" s="33">
        <f t="shared" ca="1" si="0"/>
        <v>37</v>
      </c>
      <c r="N25" s="33"/>
      <c r="O25" s="86">
        <f t="shared" ca="1" si="1"/>
        <v>37</v>
      </c>
      <c r="P25" s="86">
        <v>19</v>
      </c>
      <c r="Q25" s="50" t="s">
        <v>82</v>
      </c>
      <c r="R25" s="20"/>
      <c r="S25" s="20"/>
      <c r="T25" s="20"/>
    </row>
    <row r="26" spans="1:20" ht="12.75" x14ac:dyDescent="0.2">
      <c r="A26" s="33">
        <v>20</v>
      </c>
      <c r="B26" s="59" t="str">
        <f ca="1">IFERROR(__xludf.DUMMYFUNCTION("""COMPUTED_VALUE"""),"Иванов Алексей Владимирович")</f>
        <v>Иванов Алексей Владимирович</v>
      </c>
      <c r="C26" s="56"/>
      <c r="D26" s="57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6" s="34">
        <f ca="1">IFERROR(__xludf.DUMMYFUNCTION("""COMPUTED_VALUE"""),6)</f>
        <v>6</v>
      </c>
      <c r="F26" s="56" t="str">
        <f ca="1">IFERROR(__xludf.DUMMYFUNCTION("""COMPUTED_VALUE"""),"Новинкина Светлана Габдулловна")</f>
        <v>Новинкина Светлана Габдулловна</v>
      </c>
      <c r="G26" s="34">
        <f ca="1">IFERROR(__xludf.DUMMYFUNCTION("""COMPUTED_VALUE"""),10)</f>
        <v>10</v>
      </c>
      <c r="H26" s="34">
        <f ca="1">IFERROR(__xludf.DUMMYFUNCTION("""COMPUTED_VALUE"""),8)</f>
        <v>8</v>
      </c>
      <c r="I26" s="34">
        <f ca="1">IFERROR(__xludf.DUMMYFUNCTION("""COMPUTED_VALUE"""),8)</f>
        <v>8</v>
      </c>
      <c r="J26" s="34">
        <f ca="1">IFERROR(__xludf.DUMMYFUNCTION("""COMPUTED_VALUE"""),11)</f>
        <v>11</v>
      </c>
      <c r="K26" s="34"/>
      <c r="L26" s="34"/>
      <c r="M26" s="33">
        <f t="shared" ca="1" si="0"/>
        <v>37</v>
      </c>
      <c r="N26" s="43"/>
      <c r="O26" s="86">
        <f t="shared" ca="1" si="1"/>
        <v>37</v>
      </c>
      <c r="P26" s="33">
        <v>20</v>
      </c>
      <c r="Q26" s="50" t="s">
        <v>82</v>
      </c>
      <c r="R26" s="20"/>
      <c r="S26" s="20"/>
      <c r="T26" s="20"/>
    </row>
    <row r="27" spans="1:20" ht="12.75" x14ac:dyDescent="0.2">
      <c r="A27" s="33">
        <v>21</v>
      </c>
      <c r="B27" s="52" t="str">
        <f ca="1">IFERROR(__xludf.DUMMYFUNCTION("""COMPUTED_VALUE"""),"Бондаренко Роман Витальевич")</f>
        <v>Бондаренко Роман Витальевич</v>
      </c>
      <c r="C27" s="53"/>
      <c r="D27" s="54" t="str">
        <f ca="1">IFERROR(__xludf.DUMMYFUNCTION("""COMPUTED_VALUE"""),"МОУ ""СОШ им. Ю.А. Гагарина """)</f>
        <v>МОУ "СОШ им. Ю.А. Гагарина "</v>
      </c>
      <c r="E27" s="33">
        <f ca="1">IFERROR(__xludf.DUMMYFUNCTION("""COMPUTED_VALUE"""),6)</f>
        <v>6</v>
      </c>
      <c r="F27" s="53" t="str">
        <f ca="1">IFERROR(__xludf.DUMMYFUNCTION("""COMPUTED_VALUE"""),"Мищенко Ирина Николаевна")</f>
        <v>Мищенко Ирина Николаевна</v>
      </c>
      <c r="G27" s="33">
        <f ca="1">IFERROR(__xludf.DUMMYFUNCTION("""COMPUTED_VALUE"""),6)</f>
        <v>6</v>
      </c>
      <c r="H27" s="33">
        <f ca="1">IFERROR(__xludf.DUMMYFUNCTION("""COMPUTED_VALUE"""),8)</f>
        <v>8</v>
      </c>
      <c r="I27" s="33">
        <f ca="1">IFERROR(__xludf.DUMMYFUNCTION("""COMPUTED_VALUE"""),8)</f>
        <v>8</v>
      </c>
      <c r="J27" s="33">
        <f ca="1">IFERROR(__xludf.DUMMYFUNCTION("""COMPUTED_VALUE"""),14)</f>
        <v>14</v>
      </c>
      <c r="K27" s="33"/>
      <c r="L27" s="33"/>
      <c r="M27" s="33">
        <f t="shared" ca="1" si="0"/>
        <v>36</v>
      </c>
      <c r="N27" s="43"/>
      <c r="O27" s="86">
        <f t="shared" ca="1" si="1"/>
        <v>36</v>
      </c>
      <c r="P27" s="86">
        <v>21</v>
      </c>
      <c r="Q27" s="50" t="s">
        <v>82</v>
      </c>
      <c r="R27" s="20"/>
      <c r="S27" s="20"/>
      <c r="T27" s="20"/>
    </row>
    <row r="28" spans="1:20" ht="12.75" x14ac:dyDescent="0.2">
      <c r="A28" s="33">
        <v>22</v>
      </c>
      <c r="B28" s="52" t="str">
        <f ca="1">IFERROR(__xludf.DUMMYFUNCTION("IMPORTRANGE(""https://docs.google.com/spreadsheets/d/16CWr8ky6L0i1S4UOLMYHizeHS6aZnIDEnQPyRJyTpcI/edit#gid=0"", ""Обр.центр!B8:O12"")")," Зверев Илья Алексеевич")</f>
        <v xml:space="preserve"> Зверев Илья Алексеевич</v>
      </c>
      <c r="C28" s="53"/>
      <c r="D28" s="54" t="str">
        <f ca="1">IFERROR(__xludf.DUMMYFUNCTION("""COMPUTED_VALUE"""),"Образовательный центр")</f>
        <v>Образовательный центр</v>
      </c>
      <c r="E28" s="33">
        <f ca="1">IFERROR(__xludf.DUMMYFUNCTION("""COMPUTED_VALUE"""),6)</f>
        <v>6</v>
      </c>
      <c r="F28" s="53" t="str">
        <f ca="1">IFERROR(__xludf.DUMMYFUNCTION("""COMPUTED_VALUE"""),"Газданова Валентина Владимировна")</f>
        <v>Газданова Валентина Владимировна</v>
      </c>
      <c r="G28" s="33">
        <f ca="1">IFERROR(__xludf.DUMMYFUNCTION("""COMPUTED_VALUE"""),7)</f>
        <v>7</v>
      </c>
      <c r="H28" s="33">
        <f ca="1">IFERROR(__xludf.DUMMYFUNCTION("""COMPUTED_VALUE"""),10)</f>
        <v>10</v>
      </c>
      <c r="I28" s="33">
        <f ca="1">IFERROR(__xludf.DUMMYFUNCTION("""COMPUTED_VALUE"""),7)</f>
        <v>7</v>
      </c>
      <c r="J28" s="33">
        <f ca="1">IFERROR(__xludf.DUMMYFUNCTION("""COMPUTED_VALUE"""),12)</f>
        <v>12</v>
      </c>
      <c r="K28" s="33"/>
      <c r="L28" s="33"/>
      <c r="M28" s="33">
        <f t="shared" ca="1" si="0"/>
        <v>36</v>
      </c>
      <c r="N28" s="43"/>
      <c r="O28" s="86">
        <f t="shared" ca="1" si="1"/>
        <v>36</v>
      </c>
      <c r="P28" s="33">
        <v>22</v>
      </c>
      <c r="Q28" s="50" t="s">
        <v>82</v>
      </c>
      <c r="R28" s="20"/>
      <c r="S28" s="20"/>
      <c r="T28" s="20"/>
    </row>
    <row r="29" spans="1:20" ht="12.75" x14ac:dyDescent="0.2">
      <c r="A29" s="33">
        <v>23</v>
      </c>
      <c r="B29" s="55" t="str">
        <f ca="1">IFERROR(__xludf.DUMMYFUNCTION("IMPORTRANGE(""https://docs.google.com/spreadsheets/d/16CWr8ky6L0i1S4UOLMYHizeHS6aZnIDEnQPyRJyTpcI/edit#gid=0"", ""МЭЛ!B8:O12"")"),"Драпалюк Владислав Ильич")</f>
        <v>Драпалюк Владислав Ильич</v>
      </c>
      <c r="C29" s="53"/>
      <c r="D29" s="54" t="str">
        <f ca="1">IFERROR(__xludf.DUMMYFUNCTION("""COMPUTED_VALUE"""),"МОУ ""МЭЛ им. Шнитке А.Г.""")</f>
        <v>МОУ "МЭЛ им. Шнитке А.Г."</v>
      </c>
      <c r="E29" s="33">
        <f ca="1">IFERROR(__xludf.DUMMYFUNCTION("""COMPUTED_VALUE"""),6)</f>
        <v>6</v>
      </c>
      <c r="F29" s="53" t="str">
        <f ca="1">IFERROR(__xludf.DUMMYFUNCTION("""COMPUTED_VALUE"""),"Мотавкина Светлана Сергеевна")</f>
        <v>Мотавкина Светлана Сергеевна</v>
      </c>
      <c r="G29" s="33">
        <f ca="1">IFERROR(__xludf.DUMMYFUNCTION("""COMPUTED_VALUE"""),8)</f>
        <v>8</v>
      </c>
      <c r="H29" s="33">
        <f ca="1">IFERROR(__xludf.DUMMYFUNCTION("""COMPUTED_VALUE"""),8)</f>
        <v>8</v>
      </c>
      <c r="I29" s="33">
        <f ca="1">IFERROR(__xludf.DUMMYFUNCTION("""COMPUTED_VALUE"""),9)</f>
        <v>9</v>
      </c>
      <c r="J29" s="33">
        <v>11</v>
      </c>
      <c r="K29" s="33"/>
      <c r="L29" s="33"/>
      <c r="M29" s="33">
        <f t="shared" ca="1" si="0"/>
        <v>36</v>
      </c>
      <c r="N29" s="33"/>
      <c r="O29" s="86">
        <f t="shared" ca="1" si="1"/>
        <v>36</v>
      </c>
      <c r="P29" s="86">
        <v>23</v>
      </c>
      <c r="Q29" s="50" t="s">
        <v>82</v>
      </c>
      <c r="R29" s="20"/>
      <c r="S29" s="20"/>
      <c r="T29" s="20"/>
    </row>
    <row r="30" spans="1:20" ht="12.75" x14ac:dyDescent="0.2">
      <c r="A30" s="33">
        <v>24</v>
      </c>
      <c r="B30" s="55" t="str">
        <f ca="1">IFERROR(__xludf.DUMMYFUNCTION("IMPORTRANGE(""https://docs.google.com/spreadsheets/d/16CWr8ky6L0i1S4UOLMYHizeHS6aZnIDEnQPyRJyTpcI/edit#gid=0"", ""СОШ с. Зеленый Дол!B8:O12"")"),"Ситалиев Дамиль Нариманович")</f>
        <v>Ситалиев Дамиль Нариманович</v>
      </c>
      <c r="C30" s="56"/>
      <c r="D30" s="57" t="str">
        <f ca="1">IFERROR(__xludf.DUMMYFUNCTION("""COMPUTED_VALUE"""),"МОУ ""СОШ с. Зеленый Дол""")</f>
        <v>МОУ "СОШ с. Зеленый Дол"</v>
      </c>
      <c r="E30" s="34">
        <f ca="1">IFERROR(__xludf.DUMMYFUNCTION("""COMPUTED_VALUE"""),6)</f>
        <v>6</v>
      </c>
      <c r="F30" s="56" t="str">
        <f ca="1">IFERROR(__xludf.DUMMYFUNCTION("""COMPUTED_VALUE"""),"Абдулина Нуржамал Кайруевна")</f>
        <v>Абдулина Нуржамал Кайруевна</v>
      </c>
      <c r="G30" s="34">
        <f ca="1">IFERROR(__xludf.DUMMYFUNCTION("""COMPUTED_VALUE"""),7)</f>
        <v>7</v>
      </c>
      <c r="H30" s="34">
        <f ca="1">IFERROR(__xludf.DUMMYFUNCTION("""COMPUTED_VALUE"""),8)</f>
        <v>8</v>
      </c>
      <c r="I30" s="34">
        <f ca="1">IFERROR(__xludf.DUMMYFUNCTION("""COMPUTED_VALUE"""),7)</f>
        <v>7</v>
      </c>
      <c r="J30" s="34">
        <f ca="1">IFERROR(__xludf.DUMMYFUNCTION("""COMPUTED_VALUE"""),14)</f>
        <v>14</v>
      </c>
      <c r="K30" s="34"/>
      <c r="L30" s="34"/>
      <c r="M30" s="33">
        <f t="shared" ca="1" si="0"/>
        <v>36</v>
      </c>
      <c r="N30" s="43"/>
      <c r="O30" s="86">
        <f t="shared" ca="1" si="1"/>
        <v>36</v>
      </c>
      <c r="P30" s="33">
        <v>24</v>
      </c>
      <c r="Q30" s="50" t="s">
        <v>82</v>
      </c>
      <c r="R30" s="20"/>
      <c r="S30" s="20"/>
      <c r="T30" s="20"/>
    </row>
    <row r="31" spans="1:20" ht="12.75" x14ac:dyDescent="0.2">
      <c r="A31" s="33">
        <v>25</v>
      </c>
      <c r="B31" s="59" t="str">
        <f ca="1">IFERROR(__xludf.DUMMYFUNCTION("""COMPUTED_VALUE"""),"Копылец Анна Игоревна")</f>
        <v>Копылец Анна Игоревна</v>
      </c>
      <c r="C31" s="56"/>
      <c r="D31" s="57" t="str">
        <f ca="1">IFERROR(__xludf.DUMMYFUNCTION("""COMPUTED_VALUE"""),"МОУ ""СОШ с. Зеленый Дол""")</f>
        <v>МОУ "СОШ с. Зеленый Дол"</v>
      </c>
      <c r="E31" s="34">
        <f ca="1">IFERROR(__xludf.DUMMYFUNCTION("""COMPUTED_VALUE"""),6)</f>
        <v>6</v>
      </c>
      <c r="F31" s="56" t="str">
        <f ca="1">IFERROR(__xludf.DUMMYFUNCTION("""COMPUTED_VALUE"""),"Абдулина Нуржамал Кайруевна")</f>
        <v>Абдулина Нуржамал Кайруевна</v>
      </c>
      <c r="G31" s="34">
        <f ca="1">IFERROR(__xludf.DUMMYFUNCTION("""COMPUTED_VALUE"""),8)</f>
        <v>8</v>
      </c>
      <c r="H31" s="34">
        <f ca="1">IFERROR(__xludf.DUMMYFUNCTION("""COMPUTED_VALUE"""),3)</f>
        <v>3</v>
      </c>
      <c r="I31" s="34">
        <f ca="1">IFERROR(__xludf.DUMMYFUNCTION("""COMPUTED_VALUE"""),10)</f>
        <v>10</v>
      </c>
      <c r="J31" s="34">
        <f ca="1">IFERROR(__xludf.DUMMYFUNCTION("""COMPUTED_VALUE"""),15)</f>
        <v>15</v>
      </c>
      <c r="K31" s="34"/>
      <c r="L31" s="34"/>
      <c r="M31" s="33">
        <f t="shared" ca="1" si="0"/>
        <v>36</v>
      </c>
      <c r="N31" s="43"/>
      <c r="O31" s="86">
        <f t="shared" ca="1" si="1"/>
        <v>36</v>
      </c>
      <c r="P31" s="86">
        <v>25</v>
      </c>
      <c r="Q31" s="50" t="s">
        <v>82</v>
      </c>
      <c r="R31" s="20"/>
      <c r="S31" s="20"/>
      <c r="T31" s="20"/>
    </row>
    <row r="32" spans="1:20" ht="12.75" x14ac:dyDescent="0.2">
      <c r="A32" s="33">
        <v>26</v>
      </c>
      <c r="B32" s="59" t="str">
        <f ca="1">IFERROR(__xludf.DUMMYFUNCTION("""COMPUTED_VALUE"""),"Чекалов Игорь Юрьевич")</f>
        <v>Чекалов Игорь Юрьевич</v>
      </c>
      <c r="C32" s="56"/>
      <c r="D32" s="57" t="str">
        <f ca="1">IFERROR(__xludf.DUMMYFUNCTION("""COMPUTED_VALUE"""),"МОУ ""СОШ с. Шумейка""")</f>
        <v>МОУ "СОШ с. Шумейка"</v>
      </c>
      <c r="E32" s="34">
        <f ca="1">IFERROR(__xludf.DUMMYFUNCTION("""COMPUTED_VALUE"""),6)</f>
        <v>6</v>
      </c>
      <c r="F32" s="56" t="str">
        <f ca="1">IFERROR(__xludf.DUMMYFUNCTION("""COMPUTED_VALUE"""),"Полякова Наталия Викторовна")</f>
        <v>Полякова Наталия Викторовна</v>
      </c>
      <c r="G32" s="34">
        <f ca="1">IFERROR(__xludf.DUMMYFUNCTION("""COMPUTED_VALUE"""),7)</f>
        <v>7</v>
      </c>
      <c r="H32" s="34">
        <f ca="1">IFERROR(__xludf.DUMMYFUNCTION("""COMPUTED_VALUE"""),8)</f>
        <v>8</v>
      </c>
      <c r="I32" s="34">
        <f ca="1">IFERROR(__xludf.DUMMYFUNCTION("""COMPUTED_VALUE"""),7)</f>
        <v>7</v>
      </c>
      <c r="J32" s="34">
        <v>14</v>
      </c>
      <c r="K32" s="34"/>
      <c r="L32" s="34"/>
      <c r="M32" s="33">
        <f t="shared" ca="1" si="0"/>
        <v>36</v>
      </c>
      <c r="N32" s="33"/>
      <c r="O32" s="86">
        <f t="shared" ca="1" si="1"/>
        <v>36</v>
      </c>
      <c r="P32" s="33">
        <v>26</v>
      </c>
      <c r="Q32" s="50" t="s">
        <v>82</v>
      </c>
      <c r="R32" s="20"/>
      <c r="S32" s="20"/>
      <c r="T32" s="20"/>
    </row>
    <row r="33" spans="1:20" ht="12.75" x14ac:dyDescent="0.2">
      <c r="A33" s="33">
        <v>27</v>
      </c>
      <c r="B33" s="59" t="str">
        <f ca="1">IFERROR(__xludf.DUMMYFUNCTION("""COMPUTED_VALUE"""),"Богомолов  Владислав Сергеевич")</f>
        <v>Богомолов  Владислав Сергеевич</v>
      </c>
      <c r="C33" s="56"/>
      <c r="D33" s="57" t="str">
        <f ca="1">IFERROR(__xludf.DUMMYFUNCTION("""COMPUTED_VALUE"""),"МОУ ""СОШ им. Ю.А. Гагарина """)</f>
        <v>МОУ "СОШ им. Ю.А. Гагарина "</v>
      </c>
      <c r="E33" s="34">
        <f ca="1">IFERROR(__xludf.DUMMYFUNCTION("""COMPUTED_VALUE"""),6)</f>
        <v>6</v>
      </c>
      <c r="F33" s="56" t="str">
        <f ca="1">IFERROR(__xludf.DUMMYFUNCTION("""COMPUTED_VALUE"""),"Мищенко Ирина Николаевна")</f>
        <v>Мищенко Ирина Николаевна</v>
      </c>
      <c r="G33" s="34">
        <f ca="1">IFERROR(__xludf.DUMMYFUNCTION("""COMPUTED_VALUE"""),4)</f>
        <v>4</v>
      </c>
      <c r="H33" s="34">
        <f ca="1">IFERROR(__xludf.DUMMYFUNCTION("""COMPUTED_VALUE"""),8)</f>
        <v>8</v>
      </c>
      <c r="I33" s="34">
        <f ca="1">IFERROR(__xludf.DUMMYFUNCTION("""COMPUTED_VALUE"""),10)</f>
        <v>10</v>
      </c>
      <c r="J33" s="34">
        <f ca="1">IFERROR(__xludf.DUMMYFUNCTION("""COMPUTED_VALUE"""),14)</f>
        <v>14</v>
      </c>
      <c r="K33" s="34"/>
      <c r="L33" s="34"/>
      <c r="M33" s="33">
        <f t="shared" ca="1" si="0"/>
        <v>36</v>
      </c>
      <c r="N33" s="43"/>
      <c r="O33" s="86">
        <f t="shared" ca="1" si="1"/>
        <v>36</v>
      </c>
      <c r="P33" s="86">
        <v>27</v>
      </c>
      <c r="Q33" s="50" t="s">
        <v>82</v>
      </c>
      <c r="R33" s="20"/>
      <c r="S33" s="20"/>
      <c r="T33" s="20"/>
    </row>
    <row r="34" spans="1:20" ht="12.75" x14ac:dyDescent="0.2">
      <c r="A34" s="33">
        <v>28</v>
      </c>
      <c r="B34" s="52" t="str">
        <f ca="1">IFERROR(__xludf.DUMMYFUNCTION("""COMPUTED_VALUE"""),"Смятская Ариадна Андреевна")</f>
        <v>Смятская Ариадна Андреевна</v>
      </c>
      <c r="C34" s="53"/>
      <c r="D34" s="54" t="str">
        <f ca="1">IFERROR(__xludf.DUMMYFUNCTION("""COMPUTED_VALUE"""),"МОУ ""СОШ №33""")</f>
        <v>МОУ "СОШ №33"</v>
      </c>
      <c r="E34" s="33">
        <f ca="1">IFERROR(__xludf.DUMMYFUNCTION("""COMPUTED_VALUE"""),6)</f>
        <v>6</v>
      </c>
      <c r="F34" s="53" t="str">
        <f ca="1">IFERROR(__xludf.DUMMYFUNCTION("""COMPUTED_VALUE"""),"Власова Татьяна Станиславовна")</f>
        <v>Власова Татьяна Станиславовна</v>
      </c>
      <c r="G34" s="33">
        <f ca="1">IFERROR(__xludf.DUMMYFUNCTION("""COMPUTED_VALUE"""),10)</f>
        <v>10</v>
      </c>
      <c r="H34" s="33">
        <f ca="1">IFERROR(__xludf.DUMMYFUNCTION("""COMPUTED_VALUE"""),6)</f>
        <v>6</v>
      </c>
      <c r="I34" s="33">
        <f ca="1">IFERROR(__xludf.DUMMYFUNCTION("""COMPUTED_VALUE"""),7)</f>
        <v>7</v>
      </c>
      <c r="J34" s="33">
        <f ca="1">IFERROR(__xludf.DUMMYFUNCTION("""COMPUTED_VALUE"""),12)</f>
        <v>12</v>
      </c>
      <c r="K34" s="33"/>
      <c r="L34" s="33"/>
      <c r="M34" s="33">
        <f t="shared" ca="1" si="0"/>
        <v>35</v>
      </c>
      <c r="N34" s="43"/>
      <c r="O34" s="86">
        <f t="shared" ca="1" si="1"/>
        <v>35</v>
      </c>
      <c r="P34" s="33">
        <v>28</v>
      </c>
      <c r="Q34" s="50" t="s">
        <v>83</v>
      </c>
      <c r="R34" s="20"/>
      <c r="S34" s="20"/>
      <c r="T34" s="20"/>
    </row>
    <row r="35" spans="1:20" ht="12.75" x14ac:dyDescent="0.2">
      <c r="A35" s="33">
        <v>29</v>
      </c>
      <c r="B35" s="52" t="str">
        <f ca="1">IFERROR(__xludf.DUMMYFUNCTION("""COMPUTED_VALUE"""),"Попович Владимир Валентинович")</f>
        <v>Попович Владимир Валентинович</v>
      </c>
      <c r="C35" s="53"/>
      <c r="D35" s="5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5" s="33">
        <f ca="1">IFERROR(__xludf.DUMMYFUNCTION("""COMPUTED_VALUE"""),6)</f>
        <v>6</v>
      </c>
      <c r="F35" s="53" t="str">
        <f ca="1">IFERROR(__xludf.DUMMYFUNCTION("""COMPUTED_VALUE"""),"Новинкина Светлана Габдулловна")</f>
        <v>Новинкина Светлана Габдулловна</v>
      </c>
      <c r="G35" s="33">
        <f ca="1">IFERROR(__xludf.DUMMYFUNCTION("""COMPUTED_VALUE"""),8)</f>
        <v>8</v>
      </c>
      <c r="H35" s="33">
        <f ca="1">IFERROR(__xludf.DUMMYFUNCTION("""COMPUTED_VALUE"""),8)</f>
        <v>8</v>
      </c>
      <c r="I35" s="33">
        <f ca="1">IFERROR(__xludf.DUMMYFUNCTION("""COMPUTED_VALUE"""),10)</f>
        <v>10</v>
      </c>
      <c r="J35" s="33">
        <f ca="1">IFERROR(__xludf.DUMMYFUNCTION("""COMPUTED_VALUE"""),9)</f>
        <v>9</v>
      </c>
      <c r="K35" s="33"/>
      <c r="L35" s="33"/>
      <c r="M35" s="33">
        <f t="shared" ca="1" si="0"/>
        <v>35</v>
      </c>
      <c r="N35" s="43"/>
      <c r="O35" s="86">
        <f t="shared" ca="1" si="1"/>
        <v>35</v>
      </c>
      <c r="P35" s="86">
        <v>29</v>
      </c>
      <c r="Q35" s="50" t="s">
        <v>83</v>
      </c>
      <c r="R35" s="20"/>
      <c r="S35" s="20"/>
      <c r="T35" s="20"/>
    </row>
    <row r="36" spans="1:20" ht="12.75" x14ac:dyDescent="0.2">
      <c r="A36" s="33">
        <v>30</v>
      </c>
      <c r="B36" s="52" t="str">
        <f ca="1">IFERROR(__xludf.DUMMYFUNCTION("""COMPUTED_VALUE"""),"Филатова Мария Евгеньевна")</f>
        <v>Филатова Мария Евгеньевна</v>
      </c>
      <c r="C36" s="53"/>
      <c r="D36" s="54" t="str">
        <f ca="1">IFERROR(__xludf.DUMMYFUNCTION("""COMPUTED_VALUE"""),"МОУ ""МЭЛ им. Шнитке А.Г.""")</f>
        <v>МОУ "МЭЛ им. Шнитке А.Г."</v>
      </c>
      <c r="E36" s="33">
        <f ca="1">IFERROR(__xludf.DUMMYFUNCTION("""COMPUTED_VALUE"""),6)</f>
        <v>6</v>
      </c>
      <c r="F36" s="53" t="str">
        <f ca="1">IFERROR(__xludf.DUMMYFUNCTION("""COMPUTED_VALUE"""),"Мотавкина Светлана Сергеевна")</f>
        <v>Мотавкина Светлана Сергеевна</v>
      </c>
      <c r="G36" s="33">
        <f ca="1">IFERROR(__xludf.DUMMYFUNCTION("""COMPUTED_VALUE"""),8)</f>
        <v>8</v>
      </c>
      <c r="H36" s="33">
        <f ca="1">IFERROR(__xludf.DUMMYFUNCTION("""COMPUTED_VALUE"""),8)</f>
        <v>8</v>
      </c>
      <c r="I36" s="33">
        <f ca="1">IFERROR(__xludf.DUMMYFUNCTION("""COMPUTED_VALUE"""),8)</f>
        <v>8</v>
      </c>
      <c r="J36" s="33">
        <v>11</v>
      </c>
      <c r="K36" s="33"/>
      <c r="L36" s="33"/>
      <c r="M36" s="33">
        <f t="shared" ca="1" si="0"/>
        <v>35</v>
      </c>
      <c r="N36" s="33"/>
      <c r="O36" s="86">
        <f t="shared" ca="1" si="1"/>
        <v>35</v>
      </c>
      <c r="P36" s="33">
        <v>30</v>
      </c>
      <c r="Q36" s="50" t="s">
        <v>83</v>
      </c>
      <c r="R36" s="20"/>
      <c r="S36" s="20"/>
      <c r="T36" s="20"/>
    </row>
    <row r="37" spans="1:20" ht="12.75" x14ac:dyDescent="0.2">
      <c r="A37" s="33">
        <v>31</v>
      </c>
      <c r="B37" s="59" t="str">
        <f ca="1">IFERROR(__xludf.DUMMYFUNCTION("""COMPUTED_VALUE"""),"Сериченко Егор Дмитриевич")</f>
        <v>Сериченко Егор Дмитриевич</v>
      </c>
      <c r="C37" s="56"/>
      <c r="D37" s="57" t="str">
        <f ca="1">IFERROR(__xludf.DUMMYFUNCTION("""COMPUTED_VALUE"""),"МОУ ""СОШ п. Новопушкинское""")</f>
        <v>МОУ "СОШ п. Новопушкинское"</v>
      </c>
      <c r="E37" s="34">
        <f ca="1">IFERROR(__xludf.DUMMYFUNCTION("""COMPUTED_VALUE"""),6)</f>
        <v>6</v>
      </c>
      <c r="F37" s="56" t="str">
        <f ca="1">IFERROR(__xludf.DUMMYFUNCTION("""COMPUTED_VALUE"""),"Юшенова Лариса Николаевна")</f>
        <v>Юшенова Лариса Николаевна</v>
      </c>
      <c r="G37" s="34">
        <f ca="1">IFERROR(__xludf.DUMMYFUNCTION("""COMPUTED_VALUE"""),8)</f>
        <v>8</v>
      </c>
      <c r="H37" s="34">
        <f ca="1">IFERROR(__xludf.DUMMYFUNCTION("""COMPUTED_VALUE"""),8)</f>
        <v>8</v>
      </c>
      <c r="I37" s="34">
        <f ca="1">IFERROR(__xludf.DUMMYFUNCTION("""COMPUTED_VALUE"""),6)</f>
        <v>6</v>
      </c>
      <c r="J37" s="34">
        <f ca="1">IFERROR(__xludf.DUMMYFUNCTION("""COMPUTED_VALUE"""),13)</f>
        <v>13</v>
      </c>
      <c r="K37" s="34"/>
      <c r="L37" s="34"/>
      <c r="M37" s="33">
        <f t="shared" ca="1" si="0"/>
        <v>35</v>
      </c>
      <c r="N37" s="43"/>
      <c r="O37" s="86">
        <f t="shared" ca="1" si="1"/>
        <v>35</v>
      </c>
      <c r="P37" s="86">
        <v>31</v>
      </c>
      <c r="Q37" s="50" t="s">
        <v>83</v>
      </c>
      <c r="R37" s="20"/>
      <c r="S37" s="20"/>
      <c r="T37" s="20"/>
    </row>
    <row r="38" spans="1:20" ht="12.75" x14ac:dyDescent="0.2">
      <c r="A38" s="33">
        <v>32</v>
      </c>
      <c r="B38" s="55" t="str">
        <f ca="1">IFERROR(__xludf.DUMMYFUNCTION("IMPORTRANGE(""https://docs.google.com/spreadsheets/d/16CWr8ky6L0i1S4UOLMYHizeHS6aZnIDEnQPyRJyTpcI/edit#gid=0"", ""СОШ с. Шумейка!B8:O12"")"),"Биба Карина Вадимовна")</f>
        <v>Биба Карина Вадимовна</v>
      </c>
      <c r="C38" s="56"/>
      <c r="D38" s="57" t="str">
        <f ca="1">IFERROR(__xludf.DUMMYFUNCTION("""COMPUTED_VALUE"""),"МОУ ""СОШ с. Шумейка""")</f>
        <v>МОУ "СОШ с. Шумейка"</v>
      </c>
      <c r="E38" s="34">
        <f ca="1">IFERROR(__xludf.DUMMYFUNCTION("""COMPUTED_VALUE"""),6)</f>
        <v>6</v>
      </c>
      <c r="F38" s="56" t="str">
        <f ca="1">IFERROR(__xludf.DUMMYFUNCTION("""COMPUTED_VALUE"""),"Полякова Наталия Викторовна")</f>
        <v>Полякова Наталия Викторовна</v>
      </c>
      <c r="G38" s="34">
        <f ca="1">IFERROR(__xludf.DUMMYFUNCTION("""COMPUTED_VALUE"""),6)</f>
        <v>6</v>
      </c>
      <c r="H38" s="34">
        <f ca="1">IFERROR(__xludf.DUMMYFUNCTION("""COMPUTED_VALUE"""),8)</f>
        <v>8</v>
      </c>
      <c r="I38" s="34">
        <f ca="1">IFERROR(__xludf.DUMMYFUNCTION("""COMPUTED_VALUE"""),8)</f>
        <v>8</v>
      </c>
      <c r="J38" s="34">
        <v>13</v>
      </c>
      <c r="K38" s="34"/>
      <c r="L38" s="34"/>
      <c r="M38" s="33">
        <f t="shared" ca="1" si="0"/>
        <v>35</v>
      </c>
      <c r="N38" s="33"/>
      <c r="O38" s="86">
        <f t="shared" ca="1" si="1"/>
        <v>35</v>
      </c>
      <c r="P38" s="33">
        <v>32</v>
      </c>
      <c r="Q38" s="50" t="s">
        <v>83</v>
      </c>
      <c r="R38" s="20"/>
      <c r="S38" s="20"/>
      <c r="T38" s="20"/>
    </row>
    <row r="39" spans="1:20" ht="12.75" x14ac:dyDescent="0.2">
      <c r="A39" s="33">
        <v>33</v>
      </c>
      <c r="B39" s="59" t="str">
        <f ca="1">IFERROR(__xludf.DUMMYFUNCTION("""COMPUTED_VALUE"""),"Шекунова Александра Евгеньевна")</f>
        <v>Шекунова Александра Евгеньевна</v>
      </c>
      <c r="C39" s="56"/>
      <c r="D39" s="57" t="str">
        <f ca="1">IFERROR(__xludf.DUMMYFUNCTION("""COMPUTED_VALUE"""),"МОУ ""СОШ №19""")</f>
        <v>МОУ "СОШ №19"</v>
      </c>
      <c r="E39" s="34">
        <f ca="1">IFERROR(__xludf.DUMMYFUNCTION("""COMPUTED_VALUE"""),6)</f>
        <v>6</v>
      </c>
      <c r="F39" s="56" t="str">
        <f ca="1">IFERROR(__xludf.DUMMYFUNCTION("""COMPUTED_VALUE"""),"Бахтина Татьяна Юрьевна")</f>
        <v>Бахтина Татьяна Юрьевна</v>
      </c>
      <c r="G39" s="34">
        <f ca="1">IFERROR(__xludf.DUMMYFUNCTION("""COMPUTED_VALUE"""),7)</f>
        <v>7</v>
      </c>
      <c r="H39" s="34">
        <f ca="1">IFERROR(__xludf.DUMMYFUNCTION("""COMPUTED_VALUE"""),8)</f>
        <v>8</v>
      </c>
      <c r="I39" s="34">
        <f ca="1">IFERROR(__xludf.DUMMYFUNCTION("""COMPUTED_VALUE"""),7)</f>
        <v>7</v>
      </c>
      <c r="J39" s="34">
        <v>13</v>
      </c>
      <c r="K39" s="34"/>
      <c r="L39" s="34"/>
      <c r="M39" s="33">
        <f t="shared" ref="M39:M70" ca="1" si="2">SUM(G39:J39)</f>
        <v>35</v>
      </c>
      <c r="N39" s="33"/>
      <c r="O39" s="86">
        <f t="shared" ca="1" si="1"/>
        <v>35</v>
      </c>
      <c r="P39" s="86">
        <v>33</v>
      </c>
      <c r="Q39" s="50" t="s">
        <v>83</v>
      </c>
      <c r="R39" s="20"/>
      <c r="S39" s="20"/>
      <c r="T39" s="20"/>
    </row>
    <row r="40" spans="1:20" ht="12.75" x14ac:dyDescent="0.2">
      <c r="A40" s="33">
        <v>34</v>
      </c>
      <c r="B40" s="52" t="str">
        <f ca="1">IFERROR(__xludf.DUMMYFUNCTION("""COMPUTED_VALUE"""),"Гусаров Ян Алексеевич")</f>
        <v>Гусаров Ян Алексеевич</v>
      </c>
      <c r="C40" s="53"/>
      <c r="D40" s="54" t="str">
        <f ca="1">IFERROR(__xludf.DUMMYFUNCTION("""COMPUTED_VALUE"""),"МОУ ""СОШ №19""")</f>
        <v>МОУ "СОШ №19"</v>
      </c>
      <c r="E40" s="33">
        <f ca="1">IFERROR(__xludf.DUMMYFUNCTION("""COMPUTED_VALUE"""),6)</f>
        <v>6</v>
      </c>
      <c r="F40" s="53" t="str">
        <f ca="1">IFERROR(__xludf.DUMMYFUNCTION("""COMPUTED_VALUE"""),"Бахтина Татьяна Юрьевна")</f>
        <v>Бахтина Татьяна Юрьевна</v>
      </c>
      <c r="G40" s="33">
        <f ca="1">IFERROR(__xludf.DUMMYFUNCTION("""COMPUTED_VALUE"""),6)</f>
        <v>6</v>
      </c>
      <c r="H40" s="33">
        <f ca="1">IFERROR(__xludf.DUMMYFUNCTION("""COMPUTED_VALUE"""),8)</f>
        <v>8</v>
      </c>
      <c r="I40" s="33">
        <f ca="1">IFERROR(__xludf.DUMMYFUNCTION("""COMPUTED_VALUE"""),8)</f>
        <v>8</v>
      </c>
      <c r="J40" s="33">
        <v>12</v>
      </c>
      <c r="K40" s="33"/>
      <c r="L40" s="33"/>
      <c r="M40" s="33">
        <f t="shared" ca="1" si="2"/>
        <v>34</v>
      </c>
      <c r="N40" s="33"/>
      <c r="O40" s="86">
        <f t="shared" ca="1" si="1"/>
        <v>34</v>
      </c>
      <c r="P40" s="33">
        <v>34</v>
      </c>
      <c r="Q40" s="50" t="s">
        <v>83</v>
      </c>
      <c r="R40" s="20"/>
      <c r="S40" s="20"/>
      <c r="T40" s="20"/>
    </row>
    <row r="41" spans="1:20" ht="12.75" x14ac:dyDescent="0.2">
      <c r="A41" s="33">
        <v>35</v>
      </c>
      <c r="B41" s="52" t="str">
        <f ca="1">IFERROR(__xludf.DUMMYFUNCTION("""COMPUTED_VALUE"""),"Лозенкова Елизавета Михайловна")</f>
        <v>Лозенкова Елизавета Михайловна</v>
      </c>
      <c r="C41" s="53"/>
      <c r="D41" s="5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41" s="33">
        <f ca="1">IFERROR(__xludf.DUMMYFUNCTION("""COMPUTED_VALUE"""),6)</f>
        <v>6</v>
      </c>
      <c r="F41" s="53" t="str">
        <f ca="1">IFERROR(__xludf.DUMMYFUNCTION("""COMPUTED_VALUE"""),"Новинкина Светлана Габдулловна")</f>
        <v>Новинкина Светлана Габдулловна</v>
      </c>
      <c r="G41" s="33">
        <f ca="1">IFERROR(__xludf.DUMMYFUNCTION("""COMPUTED_VALUE"""),7)</f>
        <v>7</v>
      </c>
      <c r="H41" s="33">
        <f ca="1">IFERROR(__xludf.DUMMYFUNCTION("""COMPUTED_VALUE"""),8)</f>
        <v>8</v>
      </c>
      <c r="I41" s="33">
        <f ca="1">IFERROR(__xludf.DUMMYFUNCTION("""COMPUTED_VALUE"""),8)</f>
        <v>8</v>
      </c>
      <c r="J41" s="33">
        <f ca="1">IFERROR(__xludf.DUMMYFUNCTION("""COMPUTED_VALUE"""),11)</f>
        <v>11</v>
      </c>
      <c r="K41" s="33"/>
      <c r="L41" s="33"/>
      <c r="M41" s="33">
        <f t="shared" ca="1" si="2"/>
        <v>34</v>
      </c>
      <c r="N41" s="43"/>
      <c r="O41" s="86">
        <f t="shared" ca="1" si="1"/>
        <v>34</v>
      </c>
      <c r="P41" s="86">
        <v>35</v>
      </c>
      <c r="Q41" s="50" t="s">
        <v>83</v>
      </c>
      <c r="R41" s="20"/>
      <c r="S41" s="20"/>
      <c r="T41" s="20"/>
    </row>
    <row r="42" spans="1:20" ht="12.75" x14ac:dyDescent="0.2">
      <c r="A42" s="33">
        <v>36</v>
      </c>
      <c r="B42" s="60" t="str">
        <f ca="1">IFERROR(__xludf.DUMMYFUNCTION("""COMPUTED_VALUE"""),"Ковалев Денис Сергеевич")</f>
        <v>Ковалев Денис Сергеевич</v>
      </c>
      <c r="C42" s="56"/>
      <c r="D42" s="57" t="str">
        <f ca="1">IFERROR(__xludf.DUMMYFUNCTION("""COMPUTED_VALUE"""),"МОУ ""СОШ п. Новопушкинское""")</f>
        <v>МОУ "СОШ п. Новопушкинское"</v>
      </c>
      <c r="E42" s="34">
        <f ca="1">IFERROR(__xludf.DUMMYFUNCTION("""COMPUTED_VALUE"""),6)</f>
        <v>6</v>
      </c>
      <c r="F42" s="56" t="str">
        <f ca="1">IFERROR(__xludf.DUMMYFUNCTION("""COMPUTED_VALUE"""),"Юшенова Лариса Николаевна")</f>
        <v>Юшенова Лариса Николаевна</v>
      </c>
      <c r="G42" s="34">
        <f ca="1">IFERROR(__xludf.DUMMYFUNCTION("""COMPUTED_VALUE"""),8)</f>
        <v>8</v>
      </c>
      <c r="H42" s="34">
        <f ca="1">IFERROR(__xludf.DUMMYFUNCTION("""COMPUTED_VALUE"""),4)</f>
        <v>4</v>
      </c>
      <c r="I42" s="34">
        <f ca="1">IFERROR(__xludf.DUMMYFUNCTION("""COMPUTED_VALUE"""),8)</f>
        <v>8</v>
      </c>
      <c r="J42" s="34">
        <f ca="1">IFERROR(__xludf.DUMMYFUNCTION("""COMPUTED_VALUE"""),14)</f>
        <v>14</v>
      </c>
      <c r="K42" s="34"/>
      <c r="L42" s="34"/>
      <c r="M42" s="33">
        <f t="shared" ca="1" si="2"/>
        <v>34</v>
      </c>
      <c r="N42" s="43"/>
      <c r="O42" s="86">
        <f t="shared" ca="1" si="1"/>
        <v>34</v>
      </c>
      <c r="P42" s="33">
        <v>36</v>
      </c>
      <c r="Q42" s="50" t="s">
        <v>83</v>
      </c>
      <c r="R42" s="20"/>
      <c r="S42" s="20"/>
      <c r="T42" s="20"/>
    </row>
    <row r="43" spans="1:20" ht="12.75" x14ac:dyDescent="0.2">
      <c r="A43" s="33">
        <v>37</v>
      </c>
      <c r="B43" s="52" t="str">
        <f ca="1">IFERROR(__xludf.DUMMYFUNCTION("""COMPUTED_VALUE"""),"Пархоменко Василиса Андреевна")</f>
        <v>Пархоменко Василиса Андреевна</v>
      </c>
      <c r="C43" s="53"/>
      <c r="D43" s="54" t="str">
        <f ca="1">IFERROR(__xludf.DUMMYFUNCTION("""COMPUTED_VALUE"""),"Образовательный центр")</f>
        <v>Образовательный центр</v>
      </c>
      <c r="E43" s="33">
        <f ca="1">IFERROR(__xludf.DUMMYFUNCTION("""COMPUTED_VALUE"""),6)</f>
        <v>6</v>
      </c>
      <c r="F43" s="53" t="str">
        <f ca="1">IFERROR(__xludf.DUMMYFUNCTION("""COMPUTED_VALUE"""),"Газданова Валентина Владимировна")</f>
        <v>Газданова Валентина Владимировна</v>
      </c>
      <c r="G43" s="33">
        <f ca="1">IFERROR(__xludf.DUMMYFUNCTION("""COMPUTED_VALUE"""),8)</f>
        <v>8</v>
      </c>
      <c r="H43" s="33">
        <f ca="1">IFERROR(__xludf.DUMMYFUNCTION("""COMPUTED_VALUE"""),8)</f>
        <v>8</v>
      </c>
      <c r="I43" s="33">
        <f ca="1">IFERROR(__xludf.DUMMYFUNCTION("""COMPUTED_VALUE"""),6)</f>
        <v>6</v>
      </c>
      <c r="J43" s="33">
        <f ca="1">IFERROR(__xludf.DUMMYFUNCTION("""COMPUTED_VALUE"""),11)</f>
        <v>11</v>
      </c>
      <c r="K43" s="33"/>
      <c r="L43" s="33"/>
      <c r="M43" s="33">
        <f t="shared" ca="1" si="2"/>
        <v>33</v>
      </c>
      <c r="N43" s="43"/>
      <c r="O43" s="86">
        <f t="shared" ca="1" si="1"/>
        <v>33</v>
      </c>
      <c r="P43" s="86">
        <v>37</v>
      </c>
      <c r="Q43" s="50" t="s">
        <v>83</v>
      </c>
      <c r="R43" s="20"/>
      <c r="S43" s="20"/>
      <c r="T43" s="20"/>
    </row>
    <row r="44" spans="1:20" ht="12.75" x14ac:dyDescent="0.2">
      <c r="A44" s="33">
        <v>38</v>
      </c>
      <c r="B44" s="55" t="str">
        <f ca="1">IFERROR(__xludf.DUMMYFUNCTION("IMPORTRANGE(""https://docs.google.com/spreadsheets/d/16CWr8ky6L0i1S4UOLMYHizeHS6aZnIDEnQPyRJyTpcI/edit#gid=0"", ""СОШ №24!B8:O12"")"),"Гельманов Фарид  Торегалиевич")</f>
        <v>Гельманов Фарид  Торегалиевич</v>
      </c>
      <c r="C44" s="53"/>
      <c r="D44" s="54" t="str">
        <f ca="1">IFERROR(__xludf.DUMMYFUNCTION("""COMPUTED_VALUE"""),"МОУ ""СОШ №24""")</f>
        <v>МОУ "СОШ №24"</v>
      </c>
      <c r="E44" s="33">
        <f ca="1">IFERROR(__xludf.DUMMYFUNCTION("""COMPUTED_VALUE"""),6)</f>
        <v>6</v>
      </c>
      <c r="F44" s="53" t="str">
        <f ca="1">IFERROR(__xludf.DUMMYFUNCTION("""COMPUTED_VALUE"""),"Моисеева Татьяна Владимировна")</f>
        <v>Моисеева Татьяна Владимировна</v>
      </c>
      <c r="G44" s="33">
        <f ca="1">IFERROR(__xludf.DUMMYFUNCTION("""COMPUTED_VALUE"""),9)</f>
        <v>9</v>
      </c>
      <c r="H44" s="33">
        <f ca="1">IFERROR(__xludf.DUMMYFUNCTION("""COMPUTED_VALUE"""),8)</f>
        <v>8</v>
      </c>
      <c r="I44" s="33">
        <f ca="1">IFERROR(__xludf.DUMMYFUNCTION("""COMPUTED_VALUE"""),7)</f>
        <v>7</v>
      </c>
      <c r="J44" s="33">
        <f ca="1">IFERROR(__xludf.DUMMYFUNCTION("""COMPUTED_VALUE"""),9)</f>
        <v>9</v>
      </c>
      <c r="K44" s="33"/>
      <c r="L44" s="33"/>
      <c r="M44" s="33">
        <f t="shared" ca="1" si="2"/>
        <v>33</v>
      </c>
      <c r="N44" s="43"/>
      <c r="O44" s="86">
        <f t="shared" ca="1" si="1"/>
        <v>33</v>
      </c>
      <c r="P44" s="33">
        <v>38</v>
      </c>
      <c r="Q44" s="50" t="s">
        <v>83</v>
      </c>
      <c r="R44" s="20"/>
      <c r="S44" s="20"/>
      <c r="T44" s="20"/>
    </row>
    <row r="45" spans="1:20" ht="12.75" x14ac:dyDescent="0.2">
      <c r="A45" s="33">
        <v>39</v>
      </c>
      <c r="B45" s="52" t="str">
        <f ca="1">IFERROR(__xludf.DUMMYFUNCTION("""COMPUTED_VALUE"""),"Коршунова Анастасия Романовна")</f>
        <v>Коршунова Анастасия Романовна</v>
      </c>
      <c r="C45" s="53"/>
      <c r="D45" s="54" t="str">
        <f ca="1">IFERROR(__xludf.DUMMYFUNCTION("""COMPUTED_VALUE"""),"МОУ ""СОШ №33""")</f>
        <v>МОУ "СОШ №33"</v>
      </c>
      <c r="E45" s="33">
        <f ca="1">IFERROR(__xludf.DUMMYFUNCTION("""COMPUTED_VALUE"""),6)</f>
        <v>6</v>
      </c>
      <c r="F45" s="53" t="str">
        <f ca="1">IFERROR(__xludf.DUMMYFUNCTION("""COMPUTED_VALUE"""),"Власова Татьяна Станиславовна")</f>
        <v>Власова Татьяна Станиславовна</v>
      </c>
      <c r="G45" s="33">
        <f ca="1">IFERROR(__xludf.DUMMYFUNCTION("""COMPUTED_VALUE"""),7)</f>
        <v>7</v>
      </c>
      <c r="H45" s="33">
        <f ca="1">IFERROR(__xludf.DUMMYFUNCTION("""COMPUTED_VALUE"""),4)</f>
        <v>4</v>
      </c>
      <c r="I45" s="33">
        <f ca="1">IFERROR(__xludf.DUMMYFUNCTION("""COMPUTED_VALUE"""),7)</f>
        <v>7</v>
      </c>
      <c r="J45" s="33">
        <f ca="1">IFERROR(__xludf.DUMMYFUNCTION("""COMPUTED_VALUE"""),15)</f>
        <v>15</v>
      </c>
      <c r="K45" s="33"/>
      <c r="L45" s="33"/>
      <c r="M45" s="33">
        <f t="shared" ca="1" si="2"/>
        <v>33</v>
      </c>
      <c r="N45" s="43"/>
      <c r="O45" s="86">
        <f t="shared" ca="1" si="1"/>
        <v>33</v>
      </c>
      <c r="P45" s="86">
        <v>39</v>
      </c>
      <c r="Q45" s="50" t="s">
        <v>83</v>
      </c>
      <c r="R45" s="20"/>
      <c r="S45" s="20"/>
      <c r="T45" s="20"/>
    </row>
    <row r="46" spans="1:20" ht="12.75" x14ac:dyDescent="0.2">
      <c r="A46" s="33">
        <v>40</v>
      </c>
      <c r="B46" s="59" t="str">
        <f ca="1">IFERROR(__xludf.DUMMYFUNCTION("""COMPUTED_VALUE"""),"Куникова Полина Сергеевна")</f>
        <v>Куникова Полина Сергеевна</v>
      </c>
      <c r="C46" s="56"/>
      <c r="D46" s="57" t="str">
        <f ca="1">IFERROR(__xludf.DUMMYFUNCTION("""COMPUTED_VALUE"""),"МОУ ""СОШ п. им. К. Маркса""")</f>
        <v>МОУ "СОШ п. им. К. Маркса"</v>
      </c>
      <c r="E46" s="34">
        <f ca="1">IFERROR(__xludf.DUMMYFUNCTION("""COMPUTED_VALUE"""),6)</f>
        <v>6</v>
      </c>
      <c r="F46" s="56" t="str">
        <f ca="1">IFERROR(__xludf.DUMMYFUNCTION("""COMPUTED_VALUE"""),"Постнова Ольга Вениаминовна")</f>
        <v>Постнова Ольга Вениаминовна</v>
      </c>
      <c r="G46" s="34">
        <f ca="1">IFERROR(__xludf.DUMMYFUNCTION("""COMPUTED_VALUE"""),4)</f>
        <v>4</v>
      </c>
      <c r="H46" s="34">
        <f ca="1">IFERROR(__xludf.DUMMYFUNCTION("""COMPUTED_VALUE"""),8)</f>
        <v>8</v>
      </c>
      <c r="I46" s="34">
        <f ca="1">IFERROR(__xludf.DUMMYFUNCTION("""COMPUTED_VALUE"""),10)</f>
        <v>10</v>
      </c>
      <c r="J46" s="34">
        <v>11</v>
      </c>
      <c r="K46" s="34"/>
      <c r="L46" s="34"/>
      <c r="M46" s="33">
        <f t="shared" ca="1" si="2"/>
        <v>33</v>
      </c>
      <c r="N46" s="33"/>
      <c r="O46" s="86">
        <f t="shared" ca="1" si="1"/>
        <v>33</v>
      </c>
      <c r="P46" s="33">
        <v>40</v>
      </c>
      <c r="Q46" s="50" t="s">
        <v>83</v>
      </c>
      <c r="R46" s="20"/>
      <c r="S46" s="20"/>
      <c r="T46" s="20"/>
    </row>
    <row r="47" spans="1:20" ht="12.75" x14ac:dyDescent="0.2">
      <c r="A47" s="33">
        <v>41</v>
      </c>
      <c r="B47" s="61" t="str">
        <f ca="1">IFERROR(__xludf.DUMMYFUNCTION("IMPORTRANGE(""https://docs.google.com/spreadsheets/d/16CWr8ky6L0i1S4UOLMYHizeHS6aZnIDEnQPyRJyTpcI/edit#gid=0"", ""Патриот!B56:O62"")"),"Черемухин Глеб Александрович")</f>
        <v>Черемухин Глеб Александрович</v>
      </c>
      <c r="C47" s="56"/>
      <c r="D47" s="57" t="str">
        <f ca="1">IFERROR(__xludf.DUMMYFUNCTION("""COMPUTED_VALUE"""),"МОУ ""СОШ ""Патриот"" с кадетскими классами""")</f>
        <v>МОУ "СОШ "Патриот" с кадетскими классами"</v>
      </c>
      <c r="E47" s="34">
        <f ca="1">IFERROR(__xludf.DUMMYFUNCTION("""COMPUTED_VALUE"""),6)</f>
        <v>6</v>
      </c>
      <c r="F47" s="56" t="str">
        <f ca="1">IFERROR(__xludf.DUMMYFUNCTION("""COMPUTED_VALUE"""),"Новинкина Светлана Габдулловна")</f>
        <v>Новинкина Светлана Габдулловна</v>
      </c>
      <c r="G47" s="34">
        <f ca="1">IFERROR(__xludf.DUMMYFUNCTION("""COMPUTED_VALUE"""),6)</f>
        <v>6</v>
      </c>
      <c r="H47" s="34">
        <f ca="1">IFERROR(__xludf.DUMMYFUNCTION("""COMPUTED_VALUE"""),8)</f>
        <v>8</v>
      </c>
      <c r="I47" s="34">
        <f ca="1">IFERROR(__xludf.DUMMYFUNCTION("""COMPUTED_VALUE"""),9)</f>
        <v>9</v>
      </c>
      <c r="J47" s="34">
        <f ca="1">IFERROR(__xludf.DUMMYFUNCTION("""COMPUTED_VALUE"""),10)</f>
        <v>10</v>
      </c>
      <c r="K47" s="34"/>
      <c r="L47" s="34"/>
      <c r="M47" s="33">
        <f t="shared" ca="1" si="2"/>
        <v>33</v>
      </c>
      <c r="N47" s="43"/>
      <c r="O47" s="86">
        <f t="shared" ca="1" si="1"/>
        <v>33</v>
      </c>
      <c r="P47" s="86">
        <v>41</v>
      </c>
      <c r="Q47" s="50" t="s">
        <v>83</v>
      </c>
      <c r="R47" s="20"/>
      <c r="S47" s="20"/>
      <c r="T47" s="20"/>
    </row>
    <row r="48" spans="1:20" ht="12.75" x14ac:dyDescent="0.2">
      <c r="A48" s="33">
        <v>42</v>
      </c>
      <c r="B48" s="59" t="str">
        <f ca="1">IFERROR(__xludf.DUMMYFUNCTION("""COMPUTED_VALUE"""),"Куникова Полина Сергеевна")</f>
        <v>Куникова Полина Сергеевна</v>
      </c>
      <c r="C48" s="56"/>
      <c r="D48" s="57" t="str">
        <f ca="1">IFERROR(__xludf.DUMMYFUNCTION("""COMPUTED_VALUE"""),"МОУ ""СОШ п. им. К. Маркса""")</f>
        <v>МОУ "СОШ п. им. К. Маркса"</v>
      </c>
      <c r="E48" s="34">
        <f ca="1">IFERROR(__xludf.DUMMYFUNCTION("""COMPUTED_VALUE"""),6)</f>
        <v>6</v>
      </c>
      <c r="F48" s="56" t="str">
        <f ca="1">IFERROR(__xludf.DUMMYFUNCTION("""COMPUTED_VALUE"""),"Постнова Ольга Вениаминовна")</f>
        <v>Постнова Ольга Вениаминовна</v>
      </c>
      <c r="G48" s="34">
        <f ca="1">IFERROR(__xludf.DUMMYFUNCTION("""COMPUTED_VALUE"""),4)</f>
        <v>4</v>
      </c>
      <c r="H48" s="34">
        <f ca="1">IFERROR(__xludf.DUMMYFUNCTION("""COMPUTED_VALUE"""),8)</f>
        <v>8</v>
      </c>
      <c r="I48" s="34">
        <f ca="1">IFERROR(__xludf.DUMMYFUNCTION("""COMPUTED_VALUE"""),10)</f>
        <v>10</v>
      </c>
      <c r="J48" s="34">
        <v>11</v>
      </c>
      <c r="K48" s="34"/>
      <c r="L48" s="34"/>
      <c r="M48" s="33">
        <f t="shared" ca="1" si="2"/>
        <v>33</v>
      </c>
      <c r="N48" s="33"/>
      <c r="O48" s="86">
        <f t="shared" ca="1" si="1"/>
        <v>33</v>
      </c>
      <c r="P48" s="33">
        <v>42</v>
      </c>
      <c r="Q48" s="50" t="s">
        <v>83</v>
      </c>
      <c r="R48" s="20"/>
      <c r="S48" s="20"/>
      <c r="T48" s="20"/>
    </row>
    <row r="49" spans="1:20" ht="12.75" x14ac:dyDescent="0.2">
      <c r="A49" s="33">
        <v>43</v>
      </c>
      <c r="B49" s="59" t="str">
        <f ca="1">IFERROR(__xludf.DUMMYFUNCTION("""COMPUTED_VALUE"""),"Колесникова Дарья Игоревна")</f>
        <v>Колесникова Дарья Игоревна</v>
      </c>
      <c r="C49" s="56"/>
      <c r="D49" s="57" t="str">
        <f ca="1">IFERROR(__xludf.DUMMYFUNCTION("""COMPUTED_VALUE"""),"МОУ ""СОШ им. Ю.А. Гагарина """)</f>
        <v>МОУ "СОШ им. Ю.А. Гагарина "</v>
      </c>
      <c r="E49" s="34">
        <f ca="1">IFERROR(__xludf.DUMMYFUNCTION("""COMPUTED_VALUE"""),6)</f>
        <v>6</v>
      </c>
      <c r="F49" s="56" t="str">
        <f ca="1">IFERROR(__xludf.DUMMYFUNCTION("""COMPUTED_VALUE"""),"Мищенко Ирина Николаевна")</f>
        <v>Мищенко Ирина Николаевна</v>
      </c>
      <c r="G49" s="34">
        <f ca="1">IFERROR(__xludf.DUMMYFUNCTION("""COMPUTED_VALUE"""),6)</f>
        <v>6</v>
      </c>
      <c r="H49" s="34">
        <f ca="1">IFERROR(__xludf.DUMMYFUNCTION("""COMPUTED_VALUE"""),8)</f>
        <v>8</v>
      </c>
      <c r="I49" s="34">
        <f ca="1">IFERROR(__xludf.DUMMYFUNCTION("""COMPUTED_VALUE"""),5)</f>
        <v>5</v>
      </c>
      <c r="J49" s="34">
        <f ca="1">IFERROR(__xludf.DUMMYFUNCTION("""COMPUTED_VALUE"""),13)</f>
        <v>13</v>
      </c>
      <c r="K49" s="34"/>
      <c r="L49" s="34"/>
      <c r="M49" s="33">
        <f t="shared" ca="1" si="2"/>
        <v>32</v>
      </c>
      <c r="N49" s="43"/>
      <c r="O49" s="86">
        <f t="shared" ca="1" si="1"/>
        <v>32</v>
      </c>
      <c r="P49" s="86">
        <v>43</v>
      </c>
      <c r="Q49" s="50" t="s">
        <v>83</v>
      </c>
      <c r="R49" s="20"/>
      <c r="S49" s="20"/>
      <c r="T49" s="20"/>
    </row>
    <row r="50" spans="1:20" ht="12.75" x14ac:dyDescent="0.2">
      <c r="A50" s="33">
        <v>44</v>
      </c>
      <c r="B50" s="59" t="str">
        <f ca="1">IFERROR(__xludf.DUMMYFUNCTION("""COMPUTED_VALUE"""),"Гайков Кирилл Викторович")</f>
        <v>Гайков Кирилл Викторович</v>
      </c>
      <c r="C50" s="56"/>
      <c r="D50" s="57" t="str">
        <f ca="1">IFERROR(__xludf.DUMMYFUNCTION("""COMPUTED_VALUE"""),"МОУ ""СОШ №33""")</f>
        <v>МОУ "СОШ №33"</v>
      </c>
      <c r="E50" s="34">
        <f ca="1">IFERROR(__xludf.DUMMYFUNCTION("""COMPUTED_VALUE"""),6)</f>
        <v>6</v>
      </c>
      <c r="F50" s="56" t="str">
        <f ca="1">IFERROR(__xludf.DUMMYFUNCTION("""COMPUTED_VALUE"""),"Сибряева Надежда Васильевна")</f>
        <v>Сибряева Надежда Васильевна</v>
      </c>
      <c r="G50" s="34">
        <f ca="1">IFERROR(__xludf.DUMMYFUNCTION("""COMPUTED_VALUE"""),4)</f>
        <v>4</v>
      </c>
      <c r="H50" s="34">
        <f ca="1">IFERROR(__xludf.DUMMYFUNCTION("""COMPUTED_VALUE"""),8)</f>
        <v>8</v>
      </c>
      <c r="I50" s="34">
        <f ca="1">IFERROR(__xludf.DUMMYFUNCTION("""COMPUTED_VALUE"""),7)</f>
        <v>7</v>
      </c>
      <c r="J50" s="34">
        <f ca="1">IFERROR(__xludf.DUMMYFUNCTION("""COMPUTED_VALUE"""),13)</f>
        <v>13</v>
      </c>
      <c r="K50" s="34"/>
      <c r="L50" s="34"/>
      <c r="M50" s="33">
        <f t="shared" ca="1" si="2"/>
        <v>32</v>
      </c>
      <c r="N50" s="43"/>
      <c r="O50" s="86">
        <f t="shared" ca="1" si="1"/>
        <v>32</v>
      </c>
      <c r="P50" s="33">
        <v>44</v>
      </c>
      <c r="Q50" s="50" t="s">
        <v>83</v>
      </c>
      <c r="R50" s="20"/>
      <c r="S50" s="20"/>
      <c r="T50" s="20"/>
    </row>
    <row r="51" spans="1:20" ht="12.75" x14ac:dyDescent="0.2">
      <c r="A51" s="33">
        <v>45</v>
      </c>
      <c r="B51" s="59" t="str">
        <f ca="1">IFERROR(__xludf.DUMMYFUNCTION("""COMPUTED_VALUE"""),"Иванова Валерия Денисовна")</f>
        <v>Иванова Валерия Денисовна</v>
      </c>
      <c r="C51" s="56"/>
      <c r="D51" s="57" t="str">
        <f ca="1">IFERROR(__xludf.DUMMYFUNCTION("""COMPUTED_VALUE"""),"МОУ ""СОШ ""Патриот"" с кадетскими классами""")</f>
        <v>МОУ "СОШ "Патриот" с кадетскими классами"</v>
      </c>
      <c r="E51" s="34">
        <f ca="1">IFERROR(__xludf.DUMMYFUNCTION("""COMPUTED_VALUE"""),6)</f>
        <v>6</v>
      </c>
      <c r="F51" s="56" t="str">
        <f ca="1">IFERROR(__xludf.DUMMYFUNCTION("""COMPUTED_VALUE"""),"Новинкина Светлана Габдулловна")</f>
        <v>Новинкина Светлана Габдулловна</v>
      </c>
      <c r="G51" s="34">
        <f ca="1">IFERROR(__xludf.DUMMYFUNCTION("""COMPUTED_VALUE"""),5)</f>
        <v>5</v>
      </c>
      <c r="H51" s="34">
        <f ca="1">IFERROR(__xludf.DUMMYFUNCTION("""COMPUTED_VALUE"""),8)</f>
        <v>8</v>
      </c>
      <c r="I51" s="34">
        <f ca="1">IFERROR(__xludf.DUMMYFUNCTION("""COMPUTED_VALUE"""),8)</f>
        <v>8</v>
      </c>
      <c r="J51" s="34">
        <f ca="1">IFERROR(__xludf.DUMMYFUNCTION("""COMPUTED_VALUE"""),11)</f>
        <v>11</v>
      </c>
      <c r="K51" s="34"/>
      <c r="L51" s="34"/>
      <c r="M51" s="33">
        <f t="shared" ca="1" si="2"/>
        <v>32</v>
      </c>
      <c r="N51" s="43"/>
      <c r="O51" s="86">
        <f t="shared" ca="1" si="1"/>
        <v>32</v>
      </c>
      <c r="P51" s="86">
        <v>45</v>
      </c>
      <c r="Q51" s="50" t="s">
        <v>83</v>
      </c>
      <c r="R51" s="20"/>
      <c r="S51" s="20"/>
      <c r="T51" s="20"/>
    </row>
    <row r="52" spans="1:20" ht="12.75" x14ac:dyDescent="0.2">
      <c r="A52" s="33">
        <v>46</v>
      </c>
      <c r="B52" s="58" t="str">
        <f ca="1">IFERROR(__xludf.DUMMYFUNCTION("""COMPUTED_VALUE"""),"Ефимов Михаил Александрович")</f>
        <v>Ефимов Михаил Александрович</v>
      </c>
      <c r="C52" s="53"/>
      <c r="D52" s="54" t="str">
        <f ca="1">IFERROR(__xludf.DUMMYFUNCTION("""COMPUTED_VALUE"""),"МОУ ""СОШ №19""")</f>
        <v>МОУ "СОШ №19"</v>
      </c>
      <c r="E52" s="33">
        <f ca="1">IFERROR(__xludf.DUMMYFUNCTION("""COMPUTED_VALUE"""),6)</f>
        <v>6</v>
      </c>
      <c r="F52" s="53" t="str">
        <f ca="1">IFERROR(__xludf.DUMMYFUNCTION("""COMPUTED_VALUE"""),"Бахтина Татьяна Юрьевна")</f>
        <v>Бахтина Татьяна Юрьевна</v>
      </c>
      <c r="G52" s="33">
        <f ca="1">IFERROR(__xludf.DUMMYFUNCTION("""COMPUTED_VALUE"""),8)</f>
        <v>8</v>
      </c>
      <c r="H52" s="33">
        <f ca="1">IFERROR(__xludf.DUMMYFUNCTION("""COMPUTED_VALUE"""),4)</f>
        <v>4</v>
      </c>
      <c r="I52" s="33">
        <f ca="1">IFERROR(__xludf.DUMMYFUNCTION("""COMPUTED_VALUE"""),7)</f>
        <v>7</v>
      </c>
      <c r="J52" s="33">
        <v>12</v>
      </c>
      <c r="K52" s="33"/>
      <c r="L52" s="33"/>
      <c r="M52" s="33">
        <f t="shared" ca="1" si="2"/>
        <v>31</v>
      </c>
      <c r="N52" s="33"/>
      <c r="O52" s="86">
        <f t="shared" ca="1" si="1"/>
        <v>31</v>
      </c>
      <c r="P52" s="33">
        <v>46</v>
      </c>
      <c r="Q52" s="50" t="s">
        <v>83</v>
      </c>
      <c r="R52" s="20"/>
      <c r="S52" s="20"/>
      <c r="T52" s="20"/>
    </row>
    <row r="53" spans="1:20" ht="12.75" x14ac:dyDescent="0.2">
      <c r="A53" s="33">
        <v>47</v>
      </c>
      <c r="B53" s="52" t="str">
        <f ca="1">IFERROR(__xludf.DUMMYFUNCTION("""COMPUTED_VALUE"""),"Палитай Ксения Андреевна")</f>
        <v>Палитай Ксения Андреевна</v>
      </c>
      <c r="C53" s="53"/>
      <c r="D53" s="54" t="str">
        <f ca="1">IFERROR(__xludf.DUMMYFUNCTION("""COMPUTED_VALUE"""),"МОУ ""МЭЛ им. Шнитке А.Г.""")</f>
        <v>МОУ "МЭЛ им. Шнитке А.Г."</v>
      </c>
      <c r="E53" s="33">
        <f ca="1">IFERROR(__xludf.DUMMYFUNCTION("""COMPUTED_VALUE"""),6)</f>
        <v>6</v>
      </c>
      <c r="F53" s="53" t="str">
        <f ca="1">IFERROR(__xludf.DUMMYFUNCTION("""COMPUTED_VALUE"""),"Мотавкина Светлана Сергеевна")</f>
        <v>Мотавкина Светлана Сергеевна</v>
      </c>
      <c r="G53" s="33">
        <f ca="1">IFERROR(__xludf.DUMMYFUNCTION("""COMPUTED_VALUE"""),7)</f>
        <v>7</v>
      </c>
      <c r="H53" s="33">
        <f ca="1">IFERROR(__xludf.DUMMYFUNCTION("""COMPUTED_VALUE"""),6)</f>
        <v>6</v>
      </c>
      <c r="I53" s="33">
        <f ca="1">IFERROR(__xludf.DUMMYFUNCTION("""COMPUTED_VALUE"""),8)</f>
        <v>8</v>
      </c>
      <c r="J53" s="33">
        <v>10</v>
      </c>
      <c r="K53" s="33"/>
      <c r="L53" s="33"/>
      <c r="M53" s="33">
        <f t="shared" ca="1" si="2"/>
        <v>31</v>
      </c>
      <c r="N53" s="33"/>
      <c r="O53" s="86">
        <f t="shared" ca="1" si="1"/>
        <v>31</v>
      </c>
      <c r="P53" s="86">
        <v>47</v>
      </c>
      <c r="Q53" s="50" t="s">
        <v>83</v>
      </c>
      <c r="R53" s="20"/>
      <c r="S53" s="20"/>
      <c r="T53" s="20"/>
    </row>
    <row r="54" spans="1:20" ht="12.75" x14ac:dyDescent="0.2">
      <c r="A54" s="33">
        <v>48</v>
      </c>
      <c r="B54" s="59" t="str">
        <f ca="1">IFERROR(__xludf.DUMMYFUNCTION("""COMPUTED_VALUE"""),"Дриго Анна Васильевна")</f>
        <v>Дриго Анна Васильевна</v>
      </c>
      <c r="C54" s="56"/>
      <c r="D54" s="57" t="str">
        <f ca="1">IFERROR(__xludf.DUMMYFUNCTION("""COMPUTED_VALUE"""),"МОУ ""ООШ с. Ленинское""")</f>
        <v>МОУ "ООШ с. Ленинское"</v>
      </c>
      <c r="E54" s="34">
        <f ca="1">IFERROR(__xludf.DUMMYFUNCTION("""COMPUTED_VALUE"""),6)</f>
        <v>6</v>
      </c>
      <c r="F54" s="56" t="str">
        <f ca="1">IFERROR(__xludf.DUMMYFUNCTION("""COMPUTED_VALUE"""),"Савиных Людмила Васильевна")</f>
        <v>Савиных Людмила Васильевна</v>
      </c>
      <c r="G54" s="34">
        <f ca="1">IFERROR(__xludf.DUMMYFUNCTION("""COMPUTED_VALUE"""),5)</f>
        <v>5</v>
      </c>
      <c r="H54" s="34">
        <f ca="1">IFERROR(__xludf.DUMMYFUNCTION("""COMPUTED_VALUE"""),8)</f>
        <v>8</v>
      </c>
      <c r="I54" s="34">
        <f ca="1">IFERROR(__xludf.DUMMYFUNCTION("""COMPUTED_VALUE"""),5)</f>
        <v>5</v>
      </c>
      <c r="J54" s="34">
        <v>13</v>
      </c>
      <c r="K54" s="34"/>
      <c r="L54" s="34"/>
      <c r="M54" s="33">
        <f t="shared" ca="1" si="2"/>
        <v>31</v>
      </c>
      <c r="N54" s="33"/>
      <c r="O54" s="86">
        <f t="shared" ca="1" si="1"/>
        <v>31</v>
      </c>
      <c r="P54" s="33">
        <v>48</v>
      </c>
      <c r="Q54" s="50" t="s">
        <v>83</v>
      </c>
      <c r="R54" s="20"/>
      <c r="S54" s="20"/>
      <c r="T54" s="20"/>
    </row>
    <row r="55" spans="1:20" ht="12.75" x14ac:dyDescent="0.2">
      <c r="A55" s="33">
        <v>49</v>
      </c>
      <c r="B55" s="59" t="str">
        <f ca="1">IFERROR(__xludf.DUMMYFUNCTION("""COMPUTED_VALUE"""),"Каминская Полина Александровна")</f>
        <v>Каминская Полина Александровна</v>
      </c>
      <c r="C55" s="56"/>
      <c r="D55" s="57" t="str">
        <f ca="1">IFERROR(__xludf.DUMMYFUNCTION("""COMPUTED_VALUE"""),"МОУ ""СОШ п. им. К. Маркса""")</f>
        <v>МОУ "СОШ п. им. К. Маркса"</v>
      </c>
      <c r="E55" s="34">
        <f ca="1">IFERROR(__xludf.DUMMYFUNCTION("""COMPUTED_VALUE"""),6)</f>
        <v>6</v>
      </c>
      <c r="F55" s="56" t="str">
        <f ca="1">IFERROR(__xludf.DUMMYFUNCTION("""COMPUTED_VALUE"""),"Постнова Ольга Вениаминовна")</f>
        <v>Постнова Ольга Вениаминовна</v>
      </c>
      <c r="G55" s="34">
        <f ca="1">IFERROR(__xludf.DUMMYFUNCTION("""COMPUTED_VALUE"""),5)</f>
        <v>5</v>
      </c>
      <c r="H55" s="34">
        <f ca="1">IFERROR(__xludf.DUMMYFUNCTION("""COMPUTED_VALUE"""),6)</f>
        <v>6</v>
      </c>
      <c r="I55" s="34">
        <f ca="1">IFERROR(__xludf.DUMMYFUNCTION("""COMPUTED_VALUE"""),10)</f>
        <v>10</v>
      </c>
      <c r="J55" s="34">
        <v>10</v>
      </c>
      <c r="K55" s="34"/>
      <c r="L55" s="34"/>
      <c r="M55" s="33">
        <f t="shared" ca="1" si="2"/>
        <v>31</v>
      </c>
      <c r="N55" s="33"/>
      <c r="O55" s="86">
        <f t="shared" ca="1" si="1"/>
        <v>31</v>
      </c>
      <c r="P55" s="86">
        <v>49</v>
      </c>
      <c r="Q55" s="50" t="s">
        <v>83</v>
      </c>
      <c r="R55" s="20"/>
      <c r="S55" s="20"/>
      <c r="T55" s="20"/>
    </row>
    <row r="56" spans="1:20" ht="12.75" x14ac:dyDescent="0.2">
      <c r="A56" s="33">
        <v>50</v>
      </c>
      <c r="B56" s="59" t="str">
        <f ca="1">IFERROR(__xludf.DUMMYFUNCTION("""COMPUTED_VALUE"""),"Мухаммядиев Илдар Ренатович")</f>
        <v>Мухаммядиев Илдар Ренатович</v>
      </c>
      <c r="C56" s="56"/>
      <c r="D56" s="57" t="str">
        <f ca="1">IFERROR(__xludf.DUMMYFUNCTION("""COMPUTED_VALUE"""),"МОУ ""СОШ п. им. К. Маркса""")</f>
        <v>МОУ "СОШ п. им. К. Маркса"</v>
      </c>
      <c r="E56" s="34">
        <f ca="1">IFERROR(__xludf.DUMMYFUNCTION("""COMPUTED_VALUE"""),6)</f>
        <v>6</v>
      </c>
      <c r="F56" s="56" t="str">
        <f ca="1">IFERROR(__xludf.DUMMYFUNCTION("""COMPUTED_VALUE"""),"Постнова Ольга Вениаминовна")</f>
        <v>Постнова Ольга Вениаминовна</v>
      </c>
      <c r="G56" s="34">
        <f ca="1">IFERROR(__xludf.DUMMYFUNCTION("""COMPUTED_VALUE"""),5)</f>
        <v>5</v>
      </c>
      <c r="H56" s="34">
        <f ca="1">IFERROR(__xludf.DUMMYFUNCTION("""COMPUTED_VALUE"""),6)</f>
        <v>6</v>
      </c>
      <c r="I56" s="34">
        <f ca="1">IFERROR(__xludf.DUMMYFUNCTION("""COMPUTED_VALUE"""),10)</f>
        <v>10</v>
      </c>
      <c r="J56" s="34">
        <v>10</v>
      </c>
      <c r="K56" s="34"/>
      <c r="L56" s="34"/>
      <c r="M56" s="33">
        <f t="shared" ca="1" si="2"/>
        <v>31</v>
      </c>
      <c r="N56" s="33"/>
      <c r="O56" s="86">
        <f t="shared" ca="1" si="1"/>
        <v>31</v>
      </c>
      <c r="P56" s="33">
        <v>50</v>
      </c>
      <c r="Q56" s="50" t="s">
        <v>83</v>
      </c>
      <c r="R56" s="20"/>
      <c r="S56" s="20"/>
      <c r="T56" s="20"/>
    </row>
    <row r="57" spans="1:20" ht="12.75" x14ac:dyDescent="0.2">
      <c r="A57" s="33">
        <v>51</v>
      </c>
      <c r="B57" s="60" t="str">
        <f ca="1">IFERROR(__xludf.DUMMYFUNCTION("""COMPUTED_VALUE"""),"Адилева Даяна Сериковна")</f>
        <v>Адилева Даяна Сериковна</v>
      </c>
      <c r="C57" s="56"/>
      <c r="D57" s="57" t="str">
        <f ca="1">IFERROR(__xludf.DUMMYFUNCTION("""COMPUTED_VALUE"""),"МОУ ""СОШ им. Ю.А. Гагарина """)</f>
        <v>МОУ "СОШ им. Ю.А. Гагарина "</v>
      </c>
      <c r="E57" s="34">
        <f ca="1">IFERROR(__xludf.DUMMYFUNCTION("""COMPUTED_VALUE"""),6)</f>
        <v>6</v>
      </c>
      <c r="F57" s="56" t="str">
        <f ca="1">IFERROR(__xludf.DUMMYFUNCTION("""COMPUTED_VALUE"""),"Мищенко Ирина Николаевна")</f>
        <v>Мищенко Ирина Николаевна</v>
      </c>
      <c r="G57" s="34">
        <f ca="1">IFERROR(__xludf.DUMMYFUNCTION("""COMPUTED_VALUE"""),6)</f>
        <v>6</v>
      </c>
      <c r="H57" s="34">
        <f ca="1">IFERROR(__xludf.DUMMYFUNCTION("""COMPUTED_VALUE"""),8)</f>
        <v>8</v>
      </c>
      <c r="I57" s="34">
        <f ca="1">IFERROR(__xludf.DUMMYFUNCTION("""COMPUTED_VALUE"""),4)</f>
        <v>4</v>
      </c>
      <c r="J57" s="34">
        <f ca="1">IFERROR(__xludf.DUMMYFUNCTION("""COMPUTED_VALUE"""),13)</f>
        <v>13</v>
      </c>
      <c r="K57" s="34"/>
      <c r="L57" s="34"/>
      <c r="M57" s="33">
        <f t="shared" ca="1" si="2"/>
        <v>31</v>
      </c>
      <c r="N57" s="43"/>
      <c r="O57" s="86">
        <f t="shared" ca="1" si="1"/>
        <v>31</v>
      </c>
      <c r="P57" s="86">
        <v>51</v>
      </c>
      <c r="Q57" s="50" t="s">
        <v>83</v>
      </c>
      <c r="R57" s="20"/>
      <c r="S57" s="20"/>
      <c r="T57" s="20"/>
    </row>
    <row r="58" spans="1:20" ht="12.75" x14ac:dyDescent="0.2">
      <c r="A58" s="33">
        <v>52</v>
      </c>
      <c r="B58" s="55" t="str">
        <f ca="1">IFERROR(__xludf.DUMMYFUNCTION("IMPORTRANGE(""https://docs.google.com/spreadsheets/d/16CWr8ky6L0i1S4UOLMYHizeHS6aZnIDEnQPyRJyTpcI/edit#gid=0"", ""СОШ №33!B38:O42"")"),"Рагимханов Курбан Ямудинович")</f>
        <v>Рагимханов Курбан Ямудинович</v>
      </c>
      <c r="C58" s="56"/>
      <c r="D58" s="57" t="str">
        <f ca="1">IFERROR(__xludf.DUMMYFUNCTION("""COMPUTED_VALUE"""),"МОУ ""СОШ №33""")</f>
        <v>МОУ "СОШ №33"</v>
      </c>
      <c r="E58" s="34">
        <f ca="1">IFERROR(__xludf.DUMMYFUNCTION("""COMPUTED_VALUE"""),6)</f>
        <v>6</v>
      </c>
      <c r="F58" s="56" t="str">
        <f ca="1">IFERROR(__xludf.DUMMYFUNCTION("""COMPUTED_VALUE"""),"Власова Татьяна Станиславовна")</f>
        <v>Власова Татьяна Станиславовна</v>
      </c>
      <c r="G58" s="34">
        <f ca="1">IFERROR(__xludf.DUMMYFUNCTION("""COMPUTED_VALUE"""),8)</f>
        <v>8</v>
      </c>
      <c r="H58" s="34">
        <f ca="1">IFERROR(__xludf.DUMMYFUNCTION("""COMPUTED_VALUE"""),4)</f>
        <v>4</v>
      </c>
      <c r="I58" s="34">
        <f ca="1">IFERROR(__xludf.DUMMYFUNCTION("""COMPUTED_VALUE"""),7)</f>
        <v>7</v>
      </c>
      <c r="J58" s="34">
        <f ca="1">IFERROR(__xludf.DUMMYFUNCTION("""COMPUTED_VALUE"""),12)</f>
        <v>12</v>
      </c>
      <c r="K58" s="34"/>
      <c r="L58" s="34"/>
      <c r="M58" s="33">
        <f t="shared" ca="1" si="2"/>
        <v>31</v>
      </c>
      <c r="N58" s="43"/>
      <c r="O58" s="86">
        <f t="shared" ca="1" si="1"/>
        <v>31</v>
      </c>
      <c r="P58" s="33">
        <v>52</v>
      </c>
      <c r="Q58" s="50" t="s">
        <v>83</v>
      </c>
      <c r="R58" s="20"/>
      <c r="S58" s="20"/>
      <c r="T58" s="20"/>
    </row>
    <row r="59" spans="1:20" ht="12.75" x14ac:dyDescent="0.2">
      <c r="A59" s="33">
        <v>53</v>
      </c>
      <c r="B59" s="59" t="str">
        <f ca="1">IFERROR(__xludf.DUMMYFUNCTION("""COMPUTED_VALUE"""),"Суханов Андрей Игоревич")</f>
        <v>Суханов Андрей Игоревич</v>
      </c>
      <c r="C59" s="56"/>
      <c r="D59" s="57" t="str">
        <f ca="1">IFERROR(__xludf.DUMMYFUNCTION("""COMPUTED_VALUE"""),"МОУ ""СОШ ""Патриот"" с кадетскими классами""")</f>
        <v>МОУ "СОШ "Патриот" с кадетскими классами"</v>
      </c>
      <c r="E59" s="34">
        <f ca="1">IFERROR(__xludf.DUMMYFUNCTION("""COMPUTED_VALUE"""),6)</f>
        <v>6</v>
      </c>
      <c r="F59" s="56" t="str">
        <f ca="1">IFERROR(__xludf.DUMMYFUNCTION("""COMPUTED_VALUE"""),"Новинкина Светлана Габдулловна")</f>
        <v>Новинкина Светлана Габдулловна</v>
      </c>
      <c r="G59" s="34">
        <f ca="1">IFERROR(__xludf.DUMMYFUNCTION("""COMPUTED_VALUE"""),7)</f>
        <v>7</v>
      </c>
      <c r="H59" s="34">
        <f ca="1">IFERROR(__xludf.DUMMYFUNCTION("""COMPUTED_VALUE"""),8)</f>
        <v>8</v>
      </c>
      <c r="I59" s="34">
        <f ca="1">IFERROR(__xludf.DUMMYFUNCTION("""COMPUTED_VALUE"""),6)</f>
        <v>6</v>
      </c>
      <c r="J59" s="34">
        <f ca="1">IFERROR(__xludf.DUMMYFUNCTION("""COMPUTED_VALUE"""),10)</f>
        <v>10</v>
      </c>
      <c r="K59" s="34"/>
      <c r="L59" s="34"/>
      <c r="M59" s="33">
        <f t="shared" ca="1" si="2"/>
        <v>31</v>
      </c>
      <c r="N59" s="43"/>
      <c r="O59" s="86">
        <f t="shared" ca="1" si="1"/>
        <v>31</v>
      </c>
      <c r="P59" s="86">
        <v>53</v>
      </c>
      <c r="Q59" s="50" t="s">
        <v>83</v>
      </c>
      <c r="R59" s="20"/>
      <c r="S59" s="20"/>
      <c r="T59" s="20"/>
    </row>
    <row r="60" spans="1:20" ht="12.75" x14ac:dyDescent="0.2">
      <c r="A60" s="33">
        <v>54</v>
      </c>
      <c r="B60" s="59" t="str">
        <f ca="1">IFERROR(__xludf.DUMMYFUNCTION("""COMPUTED_VALUE"""),"Омельченко Анастасия Денисовна")</f>
        <v>Омельченко Анастасия Денисовна</v>
      </c>
      <c r="C60" s="56"/>
      <c r="D60" s="57" t="str">
        <f ca="1">IFERROR(__xludf.DUMMYFUNCTION("""COMPUTED_VALUE"""),"МОУ ""СОШ ""Патриот"" с кадетскими классами""")</f>
        <v>МОУ "СОШ "Патриот" с кадетскими классами"</v>
      </c>
      <c r="E60" s="34">
        <f ca="1">IFERROR(__xludf.DUMMYFUNCTION("""COMPUTED_VALUE"""),6)</f>
        <v>6</v>
      </c>
      <c r="F60" s="56" t="str">
        <f ca="1">IFERROR(__xludf.DUMMYFUNCTION("""COMPUTED_VALUE"""),"Новинкина Светлана Габдулловна")</f>
        <v>Новинкина Светлана Габдулловна</v>
      </c>
      <c r="G60" s="34">
        <f ca="1">IFERROR(__xludf.DUMMYFUNCTION("""COMPUTED_VALUE"""),4)</f>
        <v>4</v>
      </c>
      <c r="H60" s="34">
        <f ca="1">IFERROR(__xludf.DUMMYFUNCTION("""COMPUTED_VALUE"""),8)</f>
        <v>8</v>
      </c>
      <c r="I60" s="34">
        <f ca="1">IFERROR(__xludf.DUMMYFUNCTION("""COMPUTED_VALUE"""),8)</f>
        <v>8</v>
      </c>
      <c r="J60" s="34">
        <f ca="1">IFERROR(__xludf.DUMMYFUNCTION("""COMPUTED_VALUE"""),11)</f>
        <v>11</v>
      </c>
      <c r="K60" s="34"/>
      <c r="L60" s="34"/>
      <c r="M60" s="33">
        <f t="shared" ca="1" si="2"/>
        <v>31</v>
      </c>
      <c r="N60" s="43"/>
      <c r="O60" s="86">
        <f t="shared" ca="1" si="1"/>
        <v>31</v>
      </c>
      <c r="P60" s="33">
        <v>54</v>
      </c>
      <c r="Q60" s="50" t="s">
        <v>83</v>
      </c>
      <c r="R60" s="20"/>
      <c r="S60" s="20"/>
      <c r="T60" s="20"/>
    </row>
    <row r="61" spans="1:20" ht="12.75" x14ac:dyDescent="0.2">
      <c r="A61" s="33">
        <v>55</v>
      </c>
      <c r="B61" s="59" t="str">
        <f ca="1">IFERROR(__xludf.DUMMYFUNCTION("""COMPUTED_VALUE"""),"Каминская Полина Александровна")</f>
        <v>Каминская Полина Александровна</v>
      </c>
      <c r="C61" s="56"/>
      <c r="D61" s="57" t="str">
        <f ca="1">IFERROR(__xludf.DUMMYFUNCTION("""COMPUTED_VALUE"""),"МОУ ""СОШ п. им. К. Маркса""")</f>
        <v>МОУ "СОШ п. им. К. Маркса"</v>
      </c>
      <c r="E61" s="34">
        <f ca="1">IFERROR(__xludf.DUMMYFUNCTION("""COMPUTED_VALUE"""),6)</f>
        <v>6</v>
      </c>
      <c r="F61" s="56" t="str">
        <f ca="1">IFERROR(__xludf.DUMMYFUNCTION("""COMPUTED_VALUE"""),"Постнова Ольга Вениаминовна")</f>
        <v>Постнова Ольга Вениаминовна</v>
      </c>
      <c r="G61" s="34">
        <f ca="1">IFERROR(__xludf.DUMMYFUNCTION("""COMPUTED_VALUE"""),5)</f>
        <v>5</v>
      </c>
      <c r="H61" s="34">
        <f ca="1">IFERROR(__xludf.DUMMYFUNCTION("""COMPUTED_VALUE"""),6)</f>
        <v>6</v>
      </c>
      <c r="I61" s="34">
        <f ca="1">IFERROR(__xludf.DUMMYFUNCTION("""COMPUTED_VALUE"""),10)</f>
        <v>10</v>
      </c>
      <c r="J61" s="34">
        <v>10</v>
      </c>
      <c r="K61" s="34"/>
      <c r="L61" s="34"/>
      <c r="M61" s="33">
        <f t="shared" ca="1" si="2"/>
        <v>31</v>
      </c>
      <c r="N61" s="33"/>
      <c r="O61" s="86">
        <f t="shared" ca="1" si="1"/>
        <v>31</v>
      </c>
      <c r="P61" s="86">
        <v>55</v>
      </c>
      <c r="Q61" s="50" t="s">
        <v>83</v>
      </c>
      <c r="R61" s="20"/>
      <c r="S61" s="20"/>
      <c r="T61" s="20"/>
    </row>
    <row r="62" spans="1:20" ht="12.75" x14ac:dyDescent="0.2">
      <c r="A62" s="33">
        <v>56</v>
      </c>
      <c r="B62" s="59" t="str">
        <f ca="1">IFERROR(__xludf.DUMMYFUNCTION("""COMPUTED_VALUE"""),"Мухаммядиев Илдар Ренатович")</f>
        <v>Мухаммядиев Илдар Ренатович</v>
      </c>
      <c r="C62" s="56"/>
      <c r="D62" s="57" t="str">
        <f ca="1">IFERROR(__xludf.DUMMYFUNCTION("""COMPUTED_VALUE"""),"МОУ ""СОШ п. им. К. Маркса""")</f>
        <v>МОУ "СОШ п. им. К. Маркса"</v>
      </c>
      <c r="E62" s="34">
        <f ca="1">IFERROR(__xludf.DUMMYFUNCTION("""COMPUTED_VALUE"""),6)</f>
        <v>6</v>
      </c>
      <c r="F62" s="56" t="str">
        <f ca="1">IFERROR(__xludf.DUMMYFUNCTION("""COMPUTED_VALUE"""),"Постнова Ольга Вениаминовна")</f>
        <v>Постнова Ольга Вениаминовна</v>
      </c>
      <c r="G62" s="34">
        <f ca="1">IFERROR(__xludf.DUMMYFUNCTION("""COMPUTED_VALUE"""),5)</f>
        <v>5</v>
      </c>
      <c r="H62" s="34">
        <f ca="1">IFERROR(__xludf.DUMMYFUNCTION("""COMPUTED_VALUE"""),6)</f>
        <v>6</v>
      </c>
      <c r="I62" s="34">
        <f ca="1">IFERROR(__xludf.DUMMYFUNCTION("""COMPUTED_VALUE"""),10)</f>
        <v>10</v>
      </c>
      <c r="J62" s="34">
        <v>10</v>
      </c>
      <c r="K62" s="34"/>
      <c r="L62" s="34"/>
      <c r="M62" s="33">
        <f t="shared" ca="1" si="2"/>
        <v>31</v>
      </c>
      <c r="N62" s="33"/>
      <c r="O62" s="86">
        <f t="shared" ca="1" si="1"/>
        <v>31</v>
      </c>
      <c r="P62" s="33">
        <v>56</v>
      </c>
      <c r="Q62" s="50" t="s">
        <v>83</v>
      </c>
      <c r="R62" s="20"/>
      <c r="S62" s="20"/>
      <c r="T62" s="20"/>
    </row>
    <row r="63" spans="1:20" ht="12.75" x14ac:dyDescent="0.2">
      <c r="A63" s="33">
        <v>57</v>
      </c>
      <c r="B63" s="55" t="str">
        <f ca="1">IFERROR(__xludf.DUMMYFUNCTION("IMPORTRANGE(""https://docs.google.com/spreadsheets/d/16CWr8ky6L0i1S4UOLMYHizeHS6aZnIDEnQPyRJyTpcI/edit#gid=0"", ""Нов. век!B8:O12"")"),"Махова Анастасия Сергеевна")</f>
        <v>Махова Анастасия Сергеевна</v>
      </c>
      <c r="C63" s="53"/>
      <c r="D63" s="54" t="str">
        <f ca="1">IFERROR(__xludf.DUMMYFUNCTION("""COMPUTED_VALUE"""),"МОУ ""СОШ им. Ю.А. Гагарина """)</f>
        <v>МОУ "СОШ им. Ю.А. Гагарина "</v>
      </c>
      <c r="E63" s="33">
        <f ca="1">IFERROR(__xludf.DUMMYFUNCTION("""COMPUTED_VALUE"""),6)</f>
        <v>6</v>
      </c>
      <c r="F63" s="53" t="str">
        <f ca="1">IFERROR(__xludf.DUMMYFUNCTION("""COMPUTED_VALUE"""),"Мищенко Ирина Николаевна")</f>
        <v>Мищенко Ирина Николаевна</v>
      </c>
      <c r="G63" s="33">
        <f ca="1">IFERROR(__xludf.DUMMYFUNCTION("""COMPUTED_VALUE"""),5)</f>
        <v>5</v>
      </c>
      <c r="H63" s="33">
        <f ca="1">IFERROR(__xludf.DUMMYFUNCTION("""COMPUTED_VALUE"""),8)</f>
        <v>8</v>
      </c>
      <c r="I63" s="33">
        <f ca="1">IFERROR(__xludf.DUMMYFUNCTION("""COMPUTED_VALUE"""),4)</f>
        <v>4</v>
      </c>
      <c r="J63" s="33">
        <f ca="1">IFERROR(__xludf.DUMMYFUNCTION("""COMPUTED_VALUE"""),13)</f>
        <v>13</v>
      </c>
      <c r="K63" s="33"/>
      <c r="L63" s="33"/>
      <c r="M63" s="33">
        <f t="shared" ca="1" si="2"/>
        <v>30</v>
      </c>
      <c r="N63" s="43"/>
      <c r="O63" s="86">
        <f t="shared" ca="1" si="1"/>
        <v>30</v>
      </c>
      <c r="P63" s="86">
        <v>57</v>
      </c>
      <c r="Q63" s="50" t="s">
        <v>83</v>
      </c>
      <c r="R63" s="20"/>
      <c r="S63" s="20"/>
      <c r="T63" s="20"/>
    </row>
    <row r="64" spans="1:20" ht="12.75" x14ac:dyDescent="0.2">
      <c r="A64" s="33">
        <v>58</v>
      </c>
      <c r="B64" s="52" t="str">
        <f ca="1">IFERROR(__xludf.DUMMYFUNCTION("""COMPUTED_VALUE"""),"Михайлов Александр Андреевич")</f>
        <v>Михайлов Александр Андреевич</v>
      </c>
      <c r="C64" s="53"/>
      <c r="D64" s="54" t="str">
        <f ca="1">IFERROR(__xludf.DUMMYFUNCTION("""COMPUTED_VALUE"""),"МОУ ""СОШ им. Ю.А. Гагарина """)</f>
        <v>МОУ "СОШ им. Ю.А. Гагарина "</v>
      </c>
      <c r="E64" s="33">
        <f ca="1">IFERROR(__xludf.DUMMYFUNCTION("""COMPUTED_VALUE"""),6)</f>
        <v>6</v>
      </c>
      <c r="F64" s="53" t="str">
        <f ca="1">IFERROR(__xludf.DUMMYFUNCTION("""COMPUTED_VALUE"""),"Мищенко Ирина Николаевна")</f>
        <v>Мищенко Ирина Николаевна</v>
      </c>
      <c r="G64" s="33">
        <f ca="1">IFERROR(__xludf.DUMMYFUNCTION("""COMPUTED_VALUE"""),4)</f>
        <v>4</v>
      </c>
      <c r="H64" s="33">
        <f ca="1">IFERROR(__xludf.DUMMYFUNCTION("""COMPUTED_VALUE"""),8)</f>
        <v>8</v>
      </c>
      <c r="I64" s="33">
        <f ca="1">IFERROR(__xludf.DUMMYFUNCTION("""COMPUTED_VALUE"""),5)</f>
        <v>5</v>
      </c>
      <c r="J64" s="33">
        <f ca="1">IFERROR(__xludf.DUMMYFUNCTION("""COMPUTED_VALUE"""),13)</f>
        <v>13</v>
      </c>
      <c r="K64" s="33"/>
      <c r="L64" s="33"/>
      <c r="M64" s="33">
        <f t="shared" ca="1" si="2"/>
        <v>30</v>
      </c>
      <c r="N64" s="43"/>
      <c r="O64" s="86">
        <f t="shared" ca="1" si="1"/>
        <v>30</v>
      </c>
      <c r="P64" s="33">
        <v>58</v>
      </c>
      <c r="Q64" s="50" t="s">
        <v>83</v>
      </c>
      <c r="R64" s="20"/>
      <c r="S64" s="20"/>
      <c r="T64" s="20"/>
    </row>
    <row r="65" spans="1:20" ht="12.75" x14ac:dyDescent="0.2">
      <c r="A65" s="33">
        <v>59</v>
      </c>
      <c r="B65" s="52" t="str">
        <f ca="1">IFERROR(__xludf.DUMMYFUNCTION("IMPORTRANGE(""https://docs.google.com/spreadsheets/d/16CWr8ky6L0i1S4UOLMYHizeHS6aZnIDEnQPyRJyTpcI/edit#gid=0"", ""СОШ №31!B8:O12"")"),"Абраменко Юлиана Валерьевна")</f>
        <v>Абраменко Юлиана Валерьевна</v>
      </c>
      <c r="C65" s="53"/>
      <c r="D65" s="54" t="str">
        <f ca="1">IFERROR(__xludf.DUMMYFUNCTION("""COMPUTED_VALUE"""),"МОУ ""СОШ №31""")</f>
        <v>МОУ "СОШ №31"</v>
      </c>
      <c r="E65" s="33">
        <f ca="1">IFERROR(__xludf.DUMMYFUNCTION("""COMPUTED_VALUE"""),6)</f>
        <v>6</v>
      </c>
      <c r="F65" s="53" t="str">
        <f ca="1">IFERROR(__xludf.DUMMYFUNCTION("""COMPUTED_VALUE"""),"Котлярова Евгения Владимировна")</f>
        <v>Котлярова Евгения Владимировна</v>
      </c>
      <c r="G65" s="33">
        <f ca="1">IFERROR(__xludf.DUMMYFUNCTION("""COMPUTED_VALUE"""),6)</f>
        <v>6</v>
      </c>
      <c r="H65" s="33">
        <f ca="1">IFERROR(__xludf.DUMMYFUNCTION("""COMPUTED_VALUE"""),6)</f>
        <v>6</v>
      </c>
      <c r="I65" s="33">
        <f ca="1">IFERROR(__xludf.DUMMYFUNCTION("""COMPUTED_VALUE"""),6)</f>
        <v>6</v>
      </c>
      <c r="J65" s="33">
        <v>12</v>
      </c>
      <c r="K65" s="33"/>
      <c r="L65" s="33"/>
      <c r="M65" s="33">
        <f t="shared" ca="1" si="2"/>
        <v>30</v>
      </c>
      <c r="N65" s="33"/>
      <c r="O65" s="86">
        <f t="shared" ca="1" si="1"/>
        <v>30</v>
      </c>
      <c r="P65" s="86">
        <v>59</v>
      </c>
      <c r="Q65" s="50" t="s">
        <v>83</v>
      </c>
      <c r="R65" s="20"/>
      <c r="S65" s="20"/>
      <c r="T65" s="20"/>
    </row>
    <row r="66" spans="1:20" ht="12.75" x14ac:dyDescent="0.2">
      <c r="A66" s="33">
        <v>60</v>
      </c>
      <c r="B66" s="52" t="str">
        <f ca="1">IFERROR(__xludf.DUMMYFUNCTION("""COMPUTED_VALUE"""),"Варивода Виктория Алексеевна")</f>
        <v>Варивода Виктория Алексеевна</v>
      </c>
      <c r="C66" s="53"/>
      <c r="D66" s="54" t="str">
        <f ca="1">IFERROR(__xludf.DUMMYFUNCTION("""COMPUTED_VALUE"""),"МОУ ""СОШ №31""")</f>
        <v>МОУ "СОШ №31"</v>
      </c>
      <c r="E66" s="33">
        <f ca="1">IFERROR(__xludf.DUMMYFUNCTION("""COMPUTED_VALUE"""),6)</f>
        <v>6</v>
      </c>
      <c r="F66" s="53" t="str">
        <f ca="1">IFERROR(__xludf.DUMMYFUNCTION("""COMPUTED_VALUE"""),"Котлярова Евгения Владимировна")</f>
        <v>Котлярова Евгения Владимировна</v>
      </c>
      <c r="G66" s="33">
        <f ca="1">IFERROR(__xludf.DUMMYFUNCTION("""COMPUTED_VALUE"""),5)</f>
        <v>5</v>
      </c>
      <c r="H66" s="33">
        <f ca="1">IFERROR(__xludf.DUMMYFUNCTION("""COMPUTED_VALUE"""),6)</f>
        <v>6</v>
      </c>
      <c r="I66" s="33">
        <f ca="1">IFERROR(__xludf.DUMMYFUNCTION("""COMPUTED_VALUE"""),5)</f>
        <v>5</v>
      </c>
      <c r="J66" s="33">
        <v>14</v>
      </c>
      <c r="K66" s="33"/>
      <c r="L66" s="33"/>
      <c r="M66" s="33">
        <f t="shared" ca="1" si="2"/>
        <v>30</v>
      </c>
      <c r="N66" s="33"/>
      <c r="O66" s="86">
        <f t="shared" ca="1" si="1"/>
        <v>30</v>
      </c>
      <c r="P66" s="33">
        <v>60</v>
      </c>
      <c r="Q66" s="50" t="s">
        <v>83</v>
      </c>
      <c r="R66" s="20"/>
      <c r="S66" s="20"/>
      <c r="T66" s="20"/>
    </row>
    <row r="67" spans="1:20" ht="12.75" x14ac:dyDescent="0.2">
      <c r="A67" s="33">
        <v>61</v>
      </c>
      <c r="B67" s="61" t="str">
        <f ca="1">IFERROR(__xludf.DUMMYFUNCTION("IMPORTRANGE(""https://docs.google.com/spreadsheets/d/16CWr8ky6L0i1S4UOLMYHizeHS6aZnIDEnQPyRJyTpcI/edit#gid=0"", ""СОШ с. Шумейка!B13:O13"")"),"Чепурнова Ангелина Анатольевна ")</f>
        <v xml:space="preserve">Чепурнова Ангелина Анатольевна </v>
      </c>
      <c r="C67" s="56"/>
      <c r="D67" s="57" t="str">
        <f ca="1">IFERROR(__xludf.DUMMYFUNCTION("""COMPUTED_VALUE"""),"МОУ ""СОШ с. Шумейка""")</f>
        <v>МОУ "СОШ с. Шумейка"</v>
      </c>
      <c r="E67" s="34">
        <f ca="1">IFERROR(__xludf.DUMMYFUNCTION("""COMPUTED_VALUE"""),6)</f>
        <v>6</v>
      </c>
      <c r="F67" s="56" t="str">
        <f ca="1">IFERROR(__xludf.DUMMYFUNCTION("""COMPUTED_VALUE"""),"Полякова Наталия Викторовна")</f>
        <v>Полякова Наталия Викторовна</v>
      </c>
      <c r="G67" s="34">
        <f ca="1">IFERROR(__xludf.DUMMYFUNCTION("""COMPUTED_VALUE"""),6)</f>
        <v>6</v>
      </c>
      <c r="H67" s="34">
        <f ca="1">IFERROR(__xludf.DUMMYFUNCTION("""COMPUTED_VALUE"""),6)</f>
        <v>6</v>
      </c>
      <c r="I67" s="34">
        <f ca="1">IFERROR(__xludf.DUMMYFUNCTION("""COMPUTED_VALUE"""),5)</f>
        <v>5</v>
      </c>
      <c r="J67" s="34">
        <v>13</v>
      </c>
      <c r="K67" s="34"/>
      <c r="L67" s="34"/>
      <c r="M67" s="33">
        <f t="shared" ca="1" si="2"/>
        <v>30</v>
      </c>
      <c r="N67" s="33"/>
      <c r="O67" s="86">
        <f t="shared" ca="1" si="1"/>
        <v>30</v>
      </c>
      <c r="P67" s="86">
        <v>61</v>
      </c>
      <c r="Q67" s="50" t="s">
        <v>83</v>
      </c>
      <c r="R67" s="20"/>
      <c r="S67" s="20"/>
      <c r="T67" s="20"/>
    </row>
    <row r="68" spans="1:20" ht="12.75" x14ac:dyDescent="0.2">
      <c r="A68" s="33">
        <v>62</v>
      </c>
      <c r="B68" s="55" t="str">
        <f ca="1">IFERROR(__xludf.DUMMYFUNCTION("IMPORTRANGE(""https://docs.google.com/spreadsheets/d/16CWr8ky6L0i1S4UOLMYHizeHS6aZnIDEnQPyRJyTpcI/edit#gid=0"", ""СОШ №19!B41:O50"")"),"Мхитарян Эвелина Артёмовна")</f>
        <v>Мхитарян Эвелина Артёмовна</v>
      </c>
      <c r="C68" s="56"/>
      <c r="D68" s="57" t="str">
        <f ca="1">IFERROR(__xludf.DUMMYFUNCTION("""COMPUTED_VALUE"""),"МОУ ""СОШ №19""")</f>
        <v>МОУ "СОШ №19"</v>
      </c>
      <c r="E68" s="34">
        <f ca="1">IFERROR(__xludf.DUMMYFUNCTION("""COMPUTED_VALUE"""),6)</f>
        <v>6</v>
      </c>
      <c r="F68" s="56" t="str">
        <f ca="1">IFERROR(__xludf.DUMMYFUNCTION("""COMPUTED_VALUE"""),"Бахтина Татьяна Юрьевна")</f>
        <v>Бахтина Татьяна Юрьевна</v>
      </c>
      <c r="G68" s="34">
        <f ca="1">IFERROR(__xludf.DUMMYFUNCTION("""COMPUTED_VALUE"""),3)</f>
        <v>3</v>
      </c>
      <c r="H68" s="34">
        <f ca="1">IFERROR(__xludf.DUMMYFUNCTION("""COMPUTED_VALUE"""),8)</f>
        <v>8</v>
      </c>
      <c r="I68" s="34">
        <f ca="1">IFERROR(__xludf.DUMMYFUNCTION("""COMPUTED_VALUE"""),9)</f>
        <v>9</v>
      </c>
      <c r="J68" s="34">
        <v>10</v>
      </c>
      <c r="K68" s="34"/>
      <c r="L68" s="34"/>
      <c r="M68" s="33">
        <f t="shared" ca="1" si="2"/>
        <v>30</v>
      </c>
      <c r="N68" s="33"/>
      <c r="O68" s="86">
        <f t="shared" ca="1" si="1"/>
        <v>30</v>
      </c>
      <c r="P68" s="33">
        <v>62</v>
      </c>
      <c r="Q68" s="50" t="s">
        <v>83</v>
      </c>
      <c r="R68" s="20"/>
      <c r="S68" s="20"/>
      <c r="T68" s="20"/>
    </row>
    <row r="69" spans="1:20" ht="12.75" x14ac:dyDescent="0.2">
      <c r="A69" s="50">
        <v>138</v>
      </c>
      <c r="B69" s="55" t="str">
        <f ca="1">IFERROR(__xludf.DUMMYFUNCTION("IMPORTRANGE(""https://docs.google.com/spreadsheets/d/16CWr8ky6L0i1S4UOLMYHizeHS6aZnIDEnQPyRJyTpcI/edit#gid=0"", ""СОШ с. Шумейка!B13:O17"")"),"Чепурнова Ангелина Анатольевна ")</f>
        <v xml:space="preserve">Чепурнова Ангелина Анатольевна </v>
      </c>
      <c r="C69" s="59"/>
      <c r="D69" s="62" t="str">
        <f ca="1">IFERROR(__xludf.DUMMYFUNCTION("""COMPUTED_VALUE"""),"МОУ ""СОШ с. Шумейка""")</f>
        <v>МОУ "СОШ с. Шумейка"</v>
      </c>
      <c r="E69" s="44">
        <f ca="1">IFERROR(__xludf.DUMMYFUNCTION("""COMPUTED_VALUE"""),6)</f>
        <v>6</v>
      </c>
      <c r="F69" s="59" t="str">
        <f ca="1">IFERROR(__xludf.DUMMYFUNCTION("""COMPUTED_VALUE"""),"Полякова Наталия Викторовна")</f>
        <v>Полякова Наталия Викторовна</v>
      </c>
      <c r="G69" s="44">
        <f ca="1">IFERROR(__xludf.DUMMYFUNCTION("""COMPUTED_VALUE"""),6)</f>
        <v>6</v>
      </c>
      <c r="H69" s="44">
        <v>6</v>
      </c>
      <c r="I69" s="44">
        <v>5</v>
      </c>
      <c r="J69" s="44">
        <v>13</v>
      </c>
      <c r="K69" s="44"/>
      <c r="L69" s="44"/>
      <c r="M69" s="33">
        <f t="shared" ca="1" si="2"/>
        <v>30</v>
      </c>
      <c r="N69" s="42"/>
      <c r="O69" s="86">
        <f t="shared" ca="1" si="1"/>
        <v>30</v>
      </c>
      <c r="P69" s="86">
        <v>63</v>
      </c>
      <c r="Q69" s="50" t="s">
        <v>83</v>
      </c>
      <c r="R69" s="20"/>
      <c r="S69" s="20"/>
      <c r="T69" s="20"/>
    </row>
    <row r="70" spans="1:20" ht="12.75" x14ac:dyDescent="0.2">
      <c r="A70" s="33">
        <v>63</v>
      </c>
      <c r="B70" s="52" t="str">
        <f ca="1">IFERROR(__xludf.DUMMYFUNCTION("""COMPUTED_VALUE"""),"Костыря Юрий Анатольевич")</f>
        <v>Костыря Юрий Анатольевич</v>
      </c>
      <c r="C70" s="53"/>
      <c r="D70" s="54" t="str">
        <f ca="1">IFERROR(__xludf.DUMMYFUNCTION("""COMPUTED_VALUE"""),"МОУ ""СОШ №24""")</f>
        <v>МОУ "СОШ №24"</v>
      </c>
      <c r="E70" s="33">
        <f ca="1">IFERROR(__xludf.DUMMYFUNCTION("""COMPUTED_VALUE"""),6)</f>
        <v>6</v>
      </c>
      <c r="F70" s="53" t="str">
        <f ca="1">IFERROR(__xludf.DUMMYFUNCTION("""COMPUTED_VALUE"""),"Моисеева Татьяна Владимировна")</f>
        <v>Моисеева Татьяна Владимировна</v>
      </c>
      <c r="G70" s="33">
        <f ca="1">IFERROR(__xludf.DUMMYFUNCTION("""COMPUTED_VALUE"""),6)</f>
        <v>6</v>
      </c>
      <c r="H70" s="33">
        <f ca="1">IFERROR(__xludf.DUMMYFUNCTION("""COMPUTED_VALUE"""),4)</f>
        <v>4</v>
      </c>
      <c r="I70" s="33">
        <f ca="1">IFERROR(__xludf.DUMMYFUNCTION("""COMPUTED_VALUE"""),7)</f>
        <v>7</v>
      </c>
      <c r="J70" s="33">
        <f ca="1">IFERROR(__xludf.DUMMYFUNCTION("""COMPUTED_VALUE"""),12)</f>
        <v>12</v>
      </c>
      <c r="K70" s="33"/>
      <c r="L70" s="33"/>
      <c r="M70" s="33">
        <f t="shared" ca="1" si="2"/>
        <v>29</v>
      </c>
      <c r="N70" s="43"/>
      <c r="O70" s="86">
        <f t="shared" ca="1" si="1"/>
        <v>29</v>
      </c>
      <c r="P70" s="33">
        <v>64</v>
      </c>
      <c r="Q70" s="50" t="s">
        <v>83</v>
      </c>
      <c r="R70" s="20"/>
      <c r="S70" s="20"/>
      <c r="T70" s="20"/>
    </row>
    <row r="71" spans="1:20" ht="12.75" x14ac:dyDescent="0.2">
      <c r="A71" s="33">
        <v>64</v>
      </c>
      <c r="B71" s="52" t="str">
        <f ca="1">IFERROR(__xludf.DUMMYFUNCTION("""COMPUTED_VALUE"""),"Лавров Денис Вячеславович")</f>
        <v>Лавров Денис Вячеславович</v>
      </c>
      <c r="C71" s="53"/>
      <c r="D71" s="54" t="str">
        <f ca="1">IFERROR(__xludf.DUMMYFUNCTION("""COMPUTED_VALUE"""),"МОУ ""СОШ №31""")</f>
        <v>МОУ "СОШ №31"</v>
      </c>
      <c r="E71" s="33">
        <f ca="1">IFERROR(__xludf.DUMMYFUNCTION("""COMPUTED_VALUE"""),6)</f>
        <v>6</v>
      </c>
      <c r="F71" s="53" t="str">
        <f ca="1">IFERROR(__xludf.DUMMYFUNCTION("""COMPUTED_VALUE"""),"Котлярова Евгения Владимировна")</f>
        <v>Котлярова Евгения Владимировна</v>
      </c>
      <c r="G71" s="33">
        <f ca="1">IFERROR(__xludf.DUMMYFUNCTION("""COMPUTED_VALUE"""),4)</f>
        <v>4</v>
      </c>
      <c r="H71" s="33">
        <f ca="1">IFERROR(__xludf.DUMMYFUNCTION("""COMPUTED_VALUE"""),10)</f>
        <v>10</v>
      </c>
      <c r="I71" s="33">
        <f ca="1">IFERROR(__xludf.DUMMYFUNCTION("""COMPUTED_VALUE"""),5)</f>
        <v>5</v>
      </c>
      <c r="J71" s="33">
        <v>10</v>
      </c>
      <c r="K71" s="33"/>
      <c r="L71" s="33"/>
      <c r="M71" s="33">
        <f t="shared" ref="M71:M102" ca="1" si="3">SUM(G71:J71)</f>
        <v>29</v>
      </c>
      <c r="N71" s="33"/>
      <c r="O71" s="86">
        <f t="shared" ca="1" si="1"/>
        <v>29</v>
      </c>
      <c r="P71" s="86">
        <v>65</v>
      </c>
      <c r="Q71" s="50" t="s">
        <v>83</v>
      </c>
      <c r="R71" s="20"/>
      <c r="S71" s="20"/>
      <c r="T71" s="20"/>
    </row>
    <row r="72" spans="1:20" ht="12.75" x14ac:dyDescent="0.2">
      <c r="A72" s="33">
        <v>65</v>
      </c>
      <c r="B72" s="60" t="str">
        <f ca="1">IFERROR(__xludf.DUMMYFUNCTION("""COMPUTED_VALUE"""),"Мунвес Матвей Дмитриевич")</f>
        <v>Мунвес Матвей Дмитриевич</v>
      </c>
      <c r="C72" s="56"/>
      <c r="D72" s="57" t="str">
        <f ca="1">IFERROR(__xludf.DUMMYFUNCTION("""COMPUTED_VALUE"""),"МОУ ""СОШ п. Новопушкинское""")</f>
        <v>МОУ "СОШ п. Новопушкинское"</v>
      </c>
      <c r="E72" s="34">
        <f ca="1">IFERROR(__xludf.DUMMYFUNCTION("""COMPUTED_VALUE"""),6)</f>
        <v>6</v>
      </c>
      <c r="F72" s="56" t="str">
        <f ca="1">IFERROR(__xludf.DUMMYFUNCTION("""COMPUTED_VALUE"""),"Юшенова Лариса Николаевна")</f>
        <v>Юшенова Лариса Николаевна</v>
      </c>
      <c r="G72" s="34">
        <f ca="1">IFERROR(__xludf.DUMMYFUNCTION("""COMPUTED_VALUE"""),7)</f>
        <v>7</v>
      </c>
      <c r="H72" s="34">
        <f ca="1">IFERROR(__xludf.DUMMYFUNCTION("""COMPUTED_VALUE"""),4)</f>
        <v>4</v>
      </c>
      <c r="I72" s="34">
        <f ca="1">IFERROR(__xludf.DUMMYFUNCTION("""COMPUTED_VALUE"""),7)</f>
        <v>7</v>
      </c>
      <c r="J72" s="34">
        <f ca="1">IFERROR(__xludf.DUMMYFUNCTION("""COMPUTED_VALUE"""),11)</f>
        <v>11</v>
      </c>
      <c r="K72" s="34"/>
      <c r="L72" s="34"/>
      <c r="M72" s="33">
        <f t="shared" ca="1" si="3"/>
        <v>29</v>
      </c>
      <c r="N72" s="43"/>
      <c r="O72" s="86">
        <f t="shared" ref="O72:O135" ca="1" si="4">M72</f>
        <v>29</v>
      </c>
      <c r="P72" s="33">
        <v>66</v>
      </c>
      <c r="Q72" s="50" t="s">
        <v>83</v>
      </c>
      <c r="R72" s="20"/>
      <c r="S72" s="20"/>
      <c r="T72" s="20"/>
    </row>
    <row r="73" spans="1:20" ht="12.75" x14ac:dyDescent="0.2">
      <c r="A73" s="33">
        <v>66</v>
      </c>
      <c r="B73" s="59" t="str">
        <f ca="1">IFERROR(__xludf.DUMMYFUNCTION("""COMPUTED_VALUE"""),"Нестеренко Виктория Вячеславовна")</f>
        <v>Нестеренко Виктория Вячеславовна</v>
      </c>
      <c r="C73" s="56"/>
      <c r="D73" s="57" t="str">
        <f ca="1">IFERROR(__xludf.DUMMYFUNCTION("""COMPUTED_VALUE"""),"МОУ ""СОШ с. Шумейка""")</f>
        <v>МОУ "СОШ с. Шумейка"</v>
      </c>
      <c r="E73" s="34">
        <f ca="1">IFERROR(__xludf.DUMMYFUNCTION("""COMPUTED_VALUE"""),6)</f>
        <v>6</v>
      </c>
      <c r="F73" s="56" t="str">
        <f ca="1">IFERROR(__xludf.DUMMYFUNCTION("""COMPUTED_VALUE"""),"Полякова Наталия Викторовна")</f>
        <v>Полякова Наталия Викторовна</v>
      </c>
      <c r="G73" s="34">
        <f ca="1">IFERROR(__xludf.DUMMYFUNCTION("""COMPUTED_VALUE"""),5)</f>
        <v>5</v>
      </c>
      <c r="H73" s="34">
        <f ca="1">IFERROR(__xludf.DUMMYFUNCTION("""COMPUTED_VALUE"""),8)</f>
        <v>8</v>
      </c>
      <c r="I73" s="34">
        <f ca="1">IFERROR(__xludf.DUMMYFUNCTION("""COMPUTED_VALUE"""),5)</f>
        <v>5</v>
      </c>
      <c r="J73" s="34">
        <v>11</v>
      </c>
      <c r="K73" s="34"/>
      <c r="L73" s="34"/>
      <c r="M73" s="33">
        <f t="shared" ca="1" si="3"/>
        <v>29</v>
      </c>
      <c r="N73" s="33"/>
      <c r="O73" s="86">
        <f t="shared" ca="1" si="4"/>
        <v>29</v>
      </c>
      <c r="P73" s="86">
        <v>67</v>
      </c>
      <c r="Q73" s="50" t="s">
        <v>83</v>
      </c>
      <c r="R73" s="20"/>
      <c r="S73" s="20"/>
      <c r="T73" s="20"/>
    </row>
    <row r="74" spans="1:20" ht="12.75" x14ac:dyDescent="0.2">
      <c r="A74" s="33">
        <v>67</v>
      </c>
      <c r="B74" s="59" t="str">
        <f ca="1">IFERROR(__xludf.DUMMYFUNCTION("""COMPUTED_VALUE"""),"Соломин Захар Александрович")</f>
        <v>Соломин Захар Александрович</v>
      </c>
      <c r="C74" s="56"/>
      <c r="D74" s="57" t="str">
        <f ca="1">IFERROR(__xludf.DUMMYFUNCTION("""COMPUTED_VALUE"""),"МОУ ""СОШ с. Шумейка""")</f>
        <v>МОУ "СОШ с. Шумейка"</v>
      </c>
      <c r="E74" s="34">
        <f ca="1">IFERROR(__xludf.DUMMYFUNCTION("""COMPUTED_VALUE"""),6)</f>
        <v>6</v>
      </c>
      <c r="F74" s="56" t="str">
        <f ca="1">IFERROR(__xludf.DUMMYFUNCTION("""COMPUTED_VALUE"""),"Полякова Наталия Викторовна")</f>
        <v>Полякова Наталия Викторовна</v>
      </c>
      <c r="G74" s="34">
        <f ca="1">IFERROR(__xludf.DUMMYFUNCTION("""COMPUTED_VALUE"""),5)</f>
        <v>5</v>
      </c>
      <c r="H74" s="34">
        <f ca="1">IFERROR(__xludf.DUMMYFUNCTION("""COMPUTED_VALUE"""),6)</f>
        <v>6</v>
      </c>
      <c r="I74" s="34">
        <f ca="1">IFERROR(__xludf.DUMMYFUNCTION("""COMPUTED_VALUE"""),7)</f>
        <v>7</v>
      </c>
      <c r="J74" s="34">
        <v>11</v>
      </c>
      <c r="K74" s="34"/>
      <c r="L74" s="34"/>
      <c r="M74" s="33">
        <f t="shared" ca="1" si="3"/>
        <v>29</v>
      </c>
      <c r="N74" s="33"/>
      <c r="O74" s="86">
        <f t="shared" ca="1" si="4"/>
        <v>29</v>
      </c>
      <c r="P74" s="33">
        <v>68</v>
      </c>
      <c r="Q74" s="50" t="s">
        <v>83</v>
      </c>
      <c r="R74" s="20"/>
      <c r="S74" s="20"/>
      <c r="T74" s="20"/>
    </row>
    <row r="75" spans="1:20" ht="12.75" x14ac:dyDescent="0.2">
      <c r="A75" s="33">
        <v>68</v>
      </c>
      <c r="B75" s="59" t="str">
        <f ca="1">IFERROR(__xludf.DUMMYFUNCTION("""COMPUTED_VALUE"""),"Фокин Вадим Николаевич")</f>
        <v>Фокин Вадим Николаевич</v>
      </c>
      <c r="C75" s="56"/>
      <c r="D75" s="57" t="str">
        <f ca="1">IFERROR(__xludf.DUMMYFUNCTION("""COMPUTED_VALUE"""),"МОУ ""ООШ с. Старицкое")</f>
        <v>МОУ "ООШ с. Старицкое</v>
      </c>
      <c r="E75" s="34">
        <f ca="1">IFERROR(__xludf.DUMMYFUNCTION("""COMPUTED_VALUE"""),6)</f>
        <v>6</v>
      </c>
      <c r="F75" s="56" t="str">
        <f ca="1">IFERROR(__xludf.DUMMYFUNCTION("""COMPUTED_VALUE"""),"Пономарева Елена Николаевна")</f>
        <v>Пономарева Елена Николаевна</v>
      </c>
      <c r="G75" s="34">
        <f ca="1">IFERROR(__xludf.DUMMYFUNCTION("""COMPUTED_VALUE"""),5)</f>
        <v>5</v>
      </c>
      <c r="H75" s="34">
        <f ca="1">IFERROR(__xludf.DUMMYFUNCTION("""COMPUTED_VALUE"""),8)</f>
        <v>8</v>
      </c>
      <c r="I75" s="34">
        <f ca="1">IFERROR(__xludf.DUMMYFUNCTION("""COMPUTED_VALUE"""),4)</f>
        <v>4</v>
      </c>
      <c r="J75" s="34">
        <f ca="1">IFERROR(__xludf.DUMMYFUNCTION("""COMPUTED_VALUE"""),12)</f>
        <v>12</v>
      </c>
      <c r="K75" s="34"/>
      <c r="L75" s="34"/>
      <c r="M75" s="33">
        <f t="shared" ca="1" si="3"/>
        <v>29</v>
      </c>
      <c r="N75" s="43"/>
      <c r="O75" s="86">
        <f t="shared" ca="1" si="4"/>
        <v>29</v>
      </c>
      <c r="P75" s="86">
        <v>69</v>
      </c>
      <c r="Q75" s="50" t="s">
        <v>83</v>
      </c>
      <c r="R75" s="20"/>
      <c r="S75" s="20"/>
      <c r="T75" s="20"/>
    </row>
    <row r="76" spans="1:20" ht="12.75" x14ac:dyDescent="0.2">
      <c r="A76" s="33">
        <v>69</v>
      </c>
      <c r="B76" s="55" t="str">
        <f ca="1">IFERROR(__xludf.DUMMYFUNCTION("IMPORTRANGE(""https://docs.google.com/spreadsheets/d/16CWr8ky6L0i1S4UOLMYHizeHS6aZnIDEnQPyRJyTpcI/edit#gid=0"", ""Нов. век!B37:O42"")"),"Остапенко Ольга Олеговна")</f>
        <v>Остапенко Ольга Олеговна</v>
      </c>
      <c r="C76" s="56"/>
      <c r="D76" s="57" t="str">
        <f ca="1">IFERROR(__xludf.DUMMYFUNCTION("""COMPUTED_VALUE"""),"МОУ ""СОШ им. Ю.А. Гагарина """)</f>
        <v>МОУ "СОШ им. Ю.А. Гагарина "</v>
      </c>
      <c r="E76" s="34">
        <f ca="1">IFERROR(__xludf.DUMMYFUNCTION("""COMPUTED_VALUE"""),6)</f>
        <v>6</v>
      </c>
      <c r="F76" s="56" t="str">
        <f ca="1">IFERROR(__xludf.DUMMYFUNCTION("""COMPUTED_VALUE"""),"Мищенко Ирина Николаевна")</f>
        <v>Мищенко Ирина Николаевна</v>
      </c>
      <c r="G76" s="34">
        <f ca="1">IFERROR(__xludf.DUMMYFUNCTION("""COMPUTED_VALUE"""),4)</f>
        <v>4</v>
      </c>
      <c r="H76" s="34">
        <f ca="1">IFERROR(__xludf.DUMMYFUNCTION("""COMPUTED_VALUE"""),8)</f>
        <v>8</v>
      </c>
      <c r="I76" s="34">
        <f ca="1">IFERROR(__xludf.DUMMYFUNCTION("""COMPUTED_VALUE"""),7)</f>
        <v>7</v>
      </c>
      <c r="J76" s="34">
        <f ca="1">IFERROR(__xludf.DUMMYFUNCTION("""COMPUTED_VALUE"""),10)</f>
        <v>10</v>
      </c>
      <c r="K76" s="34"/>
      <c r="L76" s="34"/>
      <c r="M76" s="33">
        <f t="shared" ca="1" si="3"/>
        <v>29</v>
      </c>
      <c r="N76" s="43"/>
      <c r="O76" s="86">
        <f t="shared" ca="1" si="4"/>
        <v>29</v>
      </c>
      <c r="P76" s="33">
        <v>70</v>
      </c>
      <c r="Q76" s="50" t="s">
        <v>83</v>
      </c>
      <c r="R76" s="20"/>
      <c r="S76" s="20"/>
      <c r="T76" s="20"/>
    </row>
    <row r="77" spans="1:20" ht="12.75" x14ac:dyDescent="0.2">
      <c r="A77" s="33">
        <v>70</v>
      </c>
      <c r="B77" s="59" t="str">
        <f ca="1">IFERROR(__xludf.DUMMYFUNCTION("""COMPUTED_VALUE"""),"Коновалова Олеся Леонидовна")</f>
        <v>Коновалова Олеся Леонидовна</v>
      </c>
      <c r="C77" s="56"/>
      <c r="D77" s="57" t="str">
        <f ca="1">IFERROR(__xludf.DUMMYFUNCTION("""COMPUTED_VALUE"""),"МОУ ""СОШ им. Ю.А. Гагарина """)</f>
        <v>МОУ "СОШ им. Ю.А. Гагарина "</v>
      </c>
      <c r="E77" s="34">
        <f ca="1">IFERROR(__xludf.DUMMYFUNCTION("""COMPUTED_VALUE"""),6)</f>
        <v>6</v>
      </c>
      <c r="F77" s="56" t="str">
        <f ca="1">IFERROR(__xludf.DUMMYFUNCTION("""COMPUTED_VALUE"""),"Мищенко Ирина Николаевна")</f>
        <v>Мищенко Ирина Николаевна</v>
      </c>
      <c r="G77" s="34">
        <f ca="1">IFERROR(__xludf.DUMMYFUNCTION("""COMPUTED_VALUE"""),6)</f>
        <v>6</v>
      </c>
      <c r="H77" s="34">
        <f ca="1">IFERROR(__xludf.DUMMYFUNCTION("""COMPUTED_VALUE"""),8)</f>
        <v>8</v>
      </c>
      <c r="I77" s="34">
        <f ca="1">IFERROR(__xludf.DUMMYFUNCTION("""COMPUTED_VALUE"""),5)</f>
        <v>5</v>
      </c>
      <c r="J77" s="34">
        <f ca="1">IFERROR(__xludf.DUMMYFUNCTION("""COMPUTED_VALUE"""),10)</f>
        <v>10</v>
      </c>
      <c r="K77" s="34"/>
      <c r="L77" s="34"/>
      <c r="M77" s="33">
        <f t="shared" ca="1" si="3"/>
        <v>29</v>
      </c>
      <c r="N77" s="43"/>
      <c r="O77" s="86">
        <f t="shared" ca="1" si="4"/>
        <v>29</v>
      </c>
      <c r="P77" s="86">
        <v>71</v>
      </c>
      <c r="Q77" s="50" t="s">
        <v>83</v>
      </c>
      <c r="R77" s="20"/>
      <c r="S77" s="20"/>
      <c r="T77" s="20"/>
    </row>
    <row r="78" spans="1:20" ht="12.75" x14ac:dyDescent="0.2">
      <c r="A78" s="33">
        <v>71</v>
      </c>
      <c r="B78" s="63" t="str">
        <f ca="1">IFERROR(__xludf.DUMMYFUNCTION("""COMPUTED_VALUE"""),"Остапенко Ольга Олеговна")</f>
        <v>Остапенко Ольга Олеговна</v>
      </c>
      <c r="C78" s="64"/>
      <c r="D78" s="64" t="str">
        <f ca="1">IFERROR(__xludf.DUMMYFUNCTION("""COMPUTED_VALUE"""),"МОУ ""СОШ им. Ю.А. Гагарина """)</f>
        <v>МОУ "СОШ им. Ю.А. Гагарина "</v>
      </c>
      <c r="E78" s="35">
        <f ca="1">IFERROR(__xludf.DUMMYFUNCTION("""COMPUTED_VALUE"""),6)</f>
        <v>6</v>
      </c>
      <c r="F78" s="64" t="str">
        <f ca="1">IFERROR(__xludf.DUMMYFUNCTION("""COMPUTED_VALUE"""),"Мищенко Ирина Николаевна")</f>
        <v>Мищенко Ирина Николаевна</v>
      </c>
      <c r="G78" s="35">
        <f ca="1">IFERROR(__xludf.DUMMYFUNCTION("""COMPUTED_VALUE"""),4)</f>
        <v>4</v>
      </c>
      <c r="H78" s="35">
        <f ca="1">IFERROR(__xludf.DUMMYFUNCTION("""COMPUTED_VALUE"""),8)</f>
        <v>8</v>
      </c>
      <c r="I78" s="35">
        <f ca="1">IFERROR(__xludf.DUMMYFUNCTION("""COMPUTED_VALUE"""),7)</f>
        <v>7</v>
      </c>
      <c r="J78" s="35">
        <f ca="1">IFERROR(__xludf.DUMMYFUNCTION("""COMPUTED_VALUE"""),10)</f>
        <v>10</v>
      </c>
      <c r="K78" s="35"/>
      <c r="L78" s="35"/>
      <c r="M78" s="33">
        <f t="shared" ca="1" si="3"/>
        <v>29</v>
      </c>
      <c r="N78" s="35"/>
      <c r="O78" s="86">
        <f t="shared" ca="1" si="4"/>
        <v>29</v>
      </c>
      <c r="P78" s="33">
        <v>72</v>
      </c>
      <c r="Q78" s="50" t="s">
        <v>83</v>
      </c>
      <c r="R78" s="20"/>
      <c r="S78" s="20"/>
      <c r="T78" s="20"/>
    </row>
    <row r="79" spans="1:20" ht="12.75" x14ac:dyDescent="0.2">
      <c r="A79" s="33">
        <v>72</v>
      </c>
      <c r="B79" s="52" t="str">
        <f ca="1">IFERROR(__xludf.DUMMYFUNCTION("""COMPUTED_VALUE"""),"Бусыгина Яна Александровна")</f>
        <v>Бусыгина Яна Александровна</v>
      </c>
      <c r="C79" s="53"/>
      <c r="D79" s="54" t="str">
        <f ca="1">IFERROR(__xludf.DUMMYFUNCTION("""COMPUTED_VALUE"""),"Образовательный центр")</f>
        <v>Образовательный центр</v>
      </c>
      <c r="E79" s="33">
        <f ca="1">IFERROR(__xludf.DUMMYFUNCTION("""COMPUTED_VALUE"""),6)</f>
        <v>6</v>
      </c>
      <c r="F79" s="53" t="str">
        <f ca="1">IFERROR(__xludf.DUMMYFUNCTION("""COMPUTED_VALUE"""),"Газданова Валентина Владимировна")</f>
        <v>Газданова Валентина Владимировна</v>
      </c>
      <c r="G79" s="33">
        <f ca="1">IFERROR(__xludf.DUMMYFUNCTION("""COMPUTED_VALUE"""),5)</f>
        <v>5</v>
      </c>
      <c r="H79" s="33">
        <f ca="1">IFERROR(__xludf.DUMMYFUNCTION("""COMPUTED_VALUE"""),8)</f>
        <v>8</v>
      </c>
      <c r="I79" s="33">
        <f ca="1">IFERROR(__xludf.DUMMYFUNCTION("""COMPUTED_VALUE"""),5)</f>
        <v>5</v>
      </c>
      <c r="J79" s="33">
        <f ca="1">IFERROR(__xludf.DUMMYFUNCTION("""COMPUTED_VALUE"""),10)</f>
        <v>10</v>
      </c>
      <c r="K79" s="33"/>
      <c r="L79" s="33"/>
      <c r="M79" s="33">
        <f t="shared" ca="1" si="3"/>
        <v>28</v>
      </c>
      <c r="N79" s="43"/>
      <c r="O79" s="86">
        <f t="shared" ca="1" si="4"/>
        <v>28</v>
      </c>
      <c r="P79" s="86">
        <v>73</v>
      </c>
      <c r="Q79" s="50" t="s">
        <v>83</v>
      </c>
      <c r="R79" s="20"/>
      <c r="S79" s="20"/>
      <c r="T79" s="20"/>
    </row>
    <row r="80" spans="1:20" ht="12.75" x14ac:dyDescent="0.2">
      <c r="A80" s="33">
        <v>73</v>
      </c>
      <c r="B80" s="59" t="str">
        <f ca="1">IFERROR(__xludf.DUMMYFUNCTION("""COMPUTED_VALUE"""),"Кузьмина Екатерина Дмитриевна")</f>
        <v>Кузьмина Екатерина Дмитриевна</v>
      </c>
      <c r="C80" s="56"/>
      <c r="D80" s="57" t="str">
        <f ca="1">IFERROR(__xludf.DUMMYFUNCTION("""COMPUTED_VALUE"""),"МОУ ""СОШ с. Березовка""")</f>
        <v>МОУ "СОШ с. Березовка"</v>
      </c>
      <c r="E80" s="34">
        <f ca="1">IFERROR(__xludf.DUMMYFUNCTION("""COMPUTED_VALUE"""),6)</f>
        <v>6</v>
      </c>
      <c r="F80" s="56" t="str">
        <f ca="1">IFERROR(__xludf.DUMMYFUNCTION("""COMPUTED_VALUE"""),"Турсумбек Нагима Айгалиевна ")</f>
        <v xml:space="preserve">Турсумбек Нагима Айгалиевна </v>
      </c>
      <c r="G80" s="34">
        <f ca="1">IFERROR(__xludf.DUMMYFUNCTION("""COMPUTED_VALUE"""),8)</f>
        <v>8</v>
      </c>
      <c r="H80" s="34">
        <f ca="1">IFERROR(__xludf.DUMMYFUNCTION("""COMPUTED_VALUE"""),6)</f>
        <v>6</v>
      </c>
      <c r="I80" s="34">
        <f ca="1">IFERROR(__xludf.DUMMYFUNCTION("""COMPUTED_VALUE"""),4)</f>
        <v>4</v>
      </c>
      <c r="J80" s="34">
        <f ca="1">IFERROR(__xludf.DUMMYFUNCTION("""COMPUTED_VALUE"""),10)</f>
        <v>10</v>
      </c>
      <c r="K80" s="34"/>
      <c r="L80" s="34"/>
      <c r="M80" s="33">
        <f t="shared" ca="1" si="3"/>
        <v>28</v>
      </c>
      <c r="N80" s="43"/>
      <c r="O80" s="86">
        <f t="shared" ca="1" si="4"/>
        <v>28</v>
      </c>
      <c r="P80" s="33">
        <v>74</v>
      </c>
      <c r="Q80" s="50" t="s">
        <v>83</v>
      </c>
      <c r="R80" s="20"/>
      <c r="S80" s="20"/>
      <c r="T80" s="20"/>
    </row>
    <row r="81" spans="1:20" ht="12.75" x14ac:dyDescent="0.2">
      <c r="A81" s="33">
        <v>74</v>
      </c>
      <c r="B81" s="55" t="str">
        <f ca="1">IFERROR(__xludf.DUMMYFUNCTION("IMPORTRANGE(""https://docs.google.com/spreadsheets/d/16CWr8ky6L0i1S4UOLMYHizeHS6aZnIDEnQPyRJyTpcI/edit#gid=0"", ""СОШ п. Придорожный!B8:O12"")"),"Зайцев Александр Павлович")</f>
        <v>Зайцев Александр Павлович</v>
      </c>
      <c r="C81" s="56"/>
      <c r="D81" s="57" t="str">
        <f ca="1">IFERROR(__xludf.DUMMYFUNCTION("""COMPUTED_VALUE"""),"МОУ ""СОШ п. Придорожный""")</f>
        <v>МОУ "СОШ п. Придорожный"</v>
      </c>
      <c r="E81" s="34">
        <f ca="1">IFERROR(__xludf.DUMMYFUNCTION("""COMPUTED_VALUE"""),6)</f>
        <v>6</v>
      </c>
      <c r="F81" s="56" t="str">
        <f ca="1">IFERROR(__xludf.DUMMYFUNCTION("""COMPUTED_VALUE"""),"Демешко Екатерина Валерьевна")</f>
        <v>Демешко Екатерина Валерьевна</v>
      </c>
      <c r="G81" s="34">
        <f ca="1">IFERROR(__xludf.DUMMYFUNCTION("""COMPUTED_VALUE"""),7)</f>
        <v>7</v>
      </c>
      <c r="H81" s="34">
        <f ca="1">IFERROR(__xludf.DUMMYFUNCTION("""COMPUTED_VALUE"""),4)</f>
        <v>4</v>
      </c>
      <c r="I81" s="34">
        <f ca="1">IFERROR(__xludf.DUMMYFUNCTION("""COMPUTED_VALUE"""),6)</f>
        <v>6</v>
      </c>
      <c r="J81" s="34">
        <v>11</v>
      </c>
      <c r="K81" s="34"/>
      <c r="L81" s="34"/>
      <c r="M81" s="33">
        <f t="shared" ca="1" si="3"/>
        <v>28</v>
      </c>
      <c r="N81" s="33"/>
      <c r="O81" s="86">
        <f t="shared" ca="1" si="4"/>
        <v>28</v>
      </c>
      <c r="P81" s="86">
        <v>75</v>
      </c>
      <c r="Q81" s="50" t="s">
        <v>83</v>
      </c>
      <c r="R81" s="20"/>
      <c r="S81" s="20"/>
      <c r="T81" s="20"/>
    </row>
    <row r="82" spans="1:20" ht="12.75" x14ac:dyDescent="0.2">
      <c r="A82" s="33">
        <v>75</v>
      </c>
      <c r="B82" s="61" t="str">
        <f ca="1">IFERROR(__xludf.DUMMYFUNCTION("IMPORTRANGE(""https://docs.google.com/spreadsheets/d/16CWr8ky6L0i1S4UOLMYHizeHS6aZnIDEnQPyRJyTpcI/edit#gid=0"", ""ООШ с. Ленинское!B8:O12"")"),"Гордеев Иван Михайлович")</f>
        <v>Гордеев Иван Михайлович</v>
      </c>
      <c r="C82" s="56"/>
      <c r="D82" s="57" t="str">
        <f ca="1">IFERROR(__xludf.DUMMYFUNCTION("""COMPUTED_VALUE"""),"МОУ ""ООШ с. Ленинское""")</f>
        <v>МОУ "ООШ с. Ленинское"</v>
      </c>
      <c r="E82" s="34">
        <f ca="1">IFERROR(__xludf.DUMMYFUNCTION("""COMPUTED_VALUE"""),6)</f>
        <v>6</v>
      </c>
      <c r="F82" s="56" t="str">
        <f ca="1">IFERROR(__xludf.DUMMYFUNCTION("""COMPUTED_VALUE"""),"Савиных Людмила Васильевна")</f>
        <v>Савиных Людмила Васильевна</v>
      </c>
      <c r="G82" s="34">
        <f ca="1">IFERROR(__xludf.DUMMYFUNCTION("""COMPUTED_VALUE"""),7)</f>
        <v>7</v>
      </c>
      <c r="H82" s="34">
        <f ca="1">IFERROR(__xludf.DUMMYFUNCTION("""COMPUTED_VALUE"""),6)</f>
        <v>6</v>
      </c>
      <c r="I82" s="34">
        <f ca="1">IFERROR(__xludf.DUMMYFUNCTION("""COMPUTED_VALUE"""),2)</f>
        <v>2</v>
      </c>
      <c r="J82" s="34">
        <v>13</v>
      </c>
      <c r="K82" s="34"/>
      <c r="L82" s="34"/>
      <c r="M82" s="33">
        <f t="shared" ca="1" si="3"/>
        <v>28</v>
      </c>
      <c r="N82" s="33"/>
      <c r="O82" s="86">
        <f t="shared" ca="1" si="4"/>
        <v>28</v>
      </c>
      <c r="P82" s="33">
        <v>76</v>
      </c>
      <c r="Q82" s="50" t="s">
        <v>83</v>
      </c>
      <c r="R82" s="20"/>
      <c r="S82" s="20"/>
      <c r="T82" s="20"/>
    </row>
    <row r="83" spans="1:20" ht="12.75" x14ac:dyDescent="0.2">
      <c r="A83" s="33">
        <v>76</v>
      </c>
      <c r="B83" s="59" t="str">
        <f ca="1">IFERROR(__xludf.DUMMYFUNCTION("""COMPUTED_VALUE"""),"Ганеева Виктория Эльдаровна")</f>
        <v>Ганеева Виктория Эльдаровна</v>
      </c>
      <c r="C83" s="56"/>
      <c r="D83" s="57" t="str">
        <f ca="1">IFERROR(__xludf.DUMMYFUNCTION("""COMPUTED_VALUE"""),"МОУ ""СОШ п. им. К. Маркса""")</f>
        <v>МОУ "СОШ п. им. К. Маркса"</v>
      </c>
      <c r="E83" s="34">
        <f ca="1">IFERROR(__xludf.DUMMYFUNCTION("""COMPUTED_VALUE"""),6)</f>
        <v>6</v>
      </c>
      <c r="F83" s="56" t="str">
        <f ca="1">IFERROR(__xludf.DUMMYFUNCTION("""COMPUTED_VALUE"""),"Постнова Ольга Вениаминовна")</f>
        <v>Постнова Ольга Вениаминовна</v>
      </c>
      <c r="G83" s="34">
        <f ca="1">IFERROR(__xludf.DUMMYFUNCTION("""COMPUTED_VALUE"""),4)</f>
        <v>4</v>
      </c>
      <c r="H83" s="34">
        <f ca="1">IFERROR(__xludf.DUMMYFUNCTION("""COMPUTED_VALUE"""),8)</f>
        <v>8</v>
      </c>
      <c r="I83" s="34">
        <f ca="1">IFERROR(__xludf.DUMMYFUNCTION("""COMPUTED_VALUE"""),7)</f>
        <v>7</v>
      </c>
      <c r="J83" s="34">
        <v>9</v>
      </c>
      <c r="K83" s="34"/>
      <c r="L83" s="34"/>
      <c r="M83" s="33">
        <f t="shared" ca="1" si="3"/>
        <v>28</v>
      </c>
      <c r="N83" s="33"/>
      <c r="O83" s="86">
        <f t="shared" ca="1" si="4"/>
        <v>28</v>
      </c>
      <c r="P83" s="86">
        <v>77</v>
      </c>
      <c r="Q83" s="50" t="s">
        <v>83</v>
      </c>
      <c r="R83" s="20"/>
      <c r="S83" s="20"/>
      <c r="T83" s="20"/>
    </row>
    <row r="84" spans="1:20" ht="12.75" x14ac:dyDescent="0.2">
      <c r="A84" s="33">
        <v>77</v>
      </c>
      <c r="B84" s="59" t="str">
        <f ca="1">IFERROR(__xludf.DUMMYFUNCTION("""COMPUTED_VALUE"""),"Кондратьев Михаил Анатольевич")</f>
        <v>Кондратьев Михаил Анатольевич</v>
      </c>
      <c r="C84" s="56"/>
      <c r="D84" s="57" t="str">
        <f ca="1">IFERROR(__xludf.DUMMYFUNCTION("""COMPUTED_VALUE"""),"МОУ ""СОШ п. им. К. Маркса""")</f>
        <v>МОУ "СОШ п. им. К. Маркса"</v>
      </c>
      <c r="E84" s="34">
        <f ca="1">IFERROR(__xludf.DUMMYFUNCTION("""COMPUTED_VALUE"""),6)</f>
        <v>6</v>
      </c>
      <c r="F84" s="56" t="str">
        <f ca="1">IFERROR(__xludf.DUMMYFUNCTION("""COMPUTED_VALUE"""),"Постнова Ольга Вениаминовна")</f>
        <v>Постнова Ольга Вениаминовна</v>
      </c>
      <c r="G84" s="34">
        <f ca="1">IFERROR(__xludf.DUMMYFUNCTION("""COMPUTED_VALUE"""),4)</f>
        <v>4</v>
      </c>
      <c r="H84" s="34">
        <f ca="1">IFERROR(__xludf.DUMMYFUNCTION("""COMPUTED_VALUE"""),8)</f>
        <v>8</v>
      </c>
      <c r="I84" s="34">
        <f ca="1">IFERROR(__xludf.DUMMYFUNCTION("""COMPUTED_VALUE"""),7)</f>
        <v>7</v>
      </c>
      <c r="J84" s="34">
        <v>9</v>
      </c>
      <c r="K84" s="34"/>
      <c r="L84" s="34"/>
      <c r="M84" s="33">
        <f t="shared" ca="1" si="3"/>
        <v>28</v>
      </c>
      <c r="N84" s="33"/>
      <c r="O84" s="86">
        <f t="shared" ca="1" si="4"/>
        <v>28</v>
      </c>
      <c r="P84" s="33">
        <v>78</v>
      </c>
      <c r="Q84" s="50" t="s">
        <v>83</v>
      </c>
      <c r="R84" s="20"/>
      <c r="S84" s="20"/>
      <c r="T84" s="20"/>
    </row>
    <row r="85" spans="1:20" ht="12.75" x14ac:dyDescent="0.2">
      <c r="A85" s="33">
        <v>78</v>
      </c>
      <c r="B85" s="59" t="str">
        <f ca="1">IFERROR(__xludf.DUMMYFUNCTION("""COMPUTED_VALUE"""),"Молчанова Татьяна Владимировна")</f>
        <v>Молчанова Татьяна Владимировна</v>
      </c>
      <c r="C85" s="56"/>
      <c r="D85" s="57" t="str">
        <f ca="1">IFERROR(__xludf.DUMMYFUNCTION("""COMPUTED_VALUE"""),"МОУ ""СОШ №19""")</f>
        <v>МОУ "СОШ №19"</v>
      </c>
      <c r="E85" s="34">
        <f ca="1">IFERROR(__xludf.DUMMYFUNCTION("""COMPUTED_VALUE"""),6)</f>
        <v>6</v>
      </c>
      <c r="F85" s="56" t="str">
        <f ca="1">IFERROR(__xludf.DUMMYFUNCTION("""COMPUTED_VALUE"""),"Бахтина Татьяна Юрьевна")</f>
        <v>Бахтина Татьяна Юрьевна</v>
      </c>
      <c r="G85" s="34">
        <f ca="1">IFERROR(__xludf.DUMMYFUNCTION("""COMPUTED_VALUE"""),5)</f>
        <v>5</v>
      </c>
      <c r="H85" s="34">
        <f ca="1">IFERROR(__xludf.DUMMYFUNCTION("""COMPUTED_VALUE"""),8)</f>
        <v>8</v>
      </c>
      <c r="I85" s="34">
        <f ca="1">IFERROR(__xludf.DUMMYFUNCTION("""COMPUTED_VALUE"""),5)</f>
        <v>5</v>
      </c>
      <c r="J85" s="34">
        <v>10</v>
      </c>
      <c r="K85" s="34"/>
      <c r="L85" s="34"/>
      <c r="M85" s="33">
        <f t="shared" ca="1" si="3"/>
        <v>28</v>
      </c>
      <c r="N85" s="33"/>
      <c r="O85" s="86">
        <f t="shared" ca="1" si="4"/>
        <v>28</v>
      </c>
      <c r="P85" s="86">
        <v>79</v>
      </c>
      <c r="Q85" s="50" t="s">
        <v>83</v>
      </c>
      <c r="R85" s="20"/>
      <c r="S85" s="20"/>
      <c r="T85" s="20"/>
    </row>
    <row r="86" spans="1:20" ht="12.75" x14ac:dyDescent="0.2">
      <c r="A86" s="33">
        <v>79</v>
      </c>
      <c r="B86" s="55" t="str">
        <f ca="1">IFERROR(__xludf.DUMMYFUNCTION("IMPORTRANGE(""https://docs.google.com/spreadsheets/d/16CWr8ky6L0i1S4UOLMYHizeHS6aZnIDEnQPyRJyTpcI/edit#gid=0"", ""СОШ №31!B38:O38"")"),"Гамин Артём Игоревич")</f>
        <v>Гамин Артём Игоревич</v>
      </c>
      <c r="C86" s="56"/>
      <c r="D86" s="57" t="str">
        <f ca="1">IFERROR(__xludf.DUMMYFUNCTION("""COMPUTED_VALUE"""),"МОУ ""СОШ №31""")</f>
        <v>МОУ "СОШ №31"</v>
      </c>
      <c r="E86" s="34">
        <f ca="1">IFERROR(__xludf.DUMMYFUNCTION("""COMPUTED_VALUE"""),6)</f>
        <v>6</v>
      </c>
      <c r="F86" s="56" t="str">
        <f ca="1">IFERROR(__xludf.DUMMYFUNCTION("""COMPUTED_VALUE"""),"Котлярова Евгения Владимировна")</f>
        <v>Котлярова Евгения Владимировна</v>
      </c>
      <c r="G86" s="34">
        <f ca="1">IFERROR(__xludf.DUMMYFUNCTION("""COMPUTED_VALUE"""),4)</f>
        <v>4</v>
      </c>
      <c r="H86" s="34">
        <f ca="1">IFERROR(__xludf.DUMMYFUNCTION("""COMPUTED_VALUE"""),10)</f>
        <v>10</v>
      </c>
      <c r="I86" s="34">
        <f ca="1">IFERROR(__xludf.DUMMYFUNCTION("""COMPUTED_VALUE"""),4)</f>
        <v>4</v>
      </c>
      <c r="J86" s="34">
        <v>10</v>
      </c>
      <c r="K86" s="34"/>
      <c r="L86" s="34"/>
      <c r="M86" s="33">
        <f t="shared" ca="1" si="3"/>
        <v>28</v>
      </c>
      <c r="N86" s="33"/>
      <c r="O86" s="86">
        <f t="shared" ca="1" si="4"/>
        <v>28</v>
      </c>
      <c r="P86" s="33">
        <v>80</v>
      </c>
      <c r="Q86" s="50" t="s">
        <v>83</v>
      </c>
      <c r="R86" s="20"/>
      <c r="S86" s="20"/>
      <c r="T86" s="20"/>
    </row>
    <row r="87" spans="1:20" ht="12.75" x14ac:dyDescent="0.2">
      <c r="A87" s="33">
        <v>80</v>
      </c>
      <c r="B87" s="60" t="str">
        <f ca="1">IFERROR(__xludf.DUMMYFUNCTION("""COMPUTED_VALUE"""),"Ганеева Виктория Эльдаровна")</f>
        <v>Ганеева Виктория Эльдаровна</v>
      </c>
      <c r="C87" s="56"/>
      <c r="D87" s="57" t="str">
        <f ca="1">IFERROR(__xludf.DUMMYFUNCTION("""COMPUTED_VALUE"""),"МОУ ""СОШ п. им. К. Маркса""")</f>
        <v>МОУ "СОШ п. им. К. Маркса"</v>
      </c>
      <c r="E87" s="34">
        <f ca="1">IFERROR(__xludf.DUMMYFUNCTION("""COMPUTED_VALUE"""),6)</f>
        <v>6</v>
      </c>
      <c r="F87" s="56" t="str">
        <f ca="1">IFERROR(__xludf.DUMMYFUNCTION("""COMPUTED_VALUE"""),"Постнова Ольга Вениаминовна")</f>
        <v>Постнова Ольга Вениаминовна</v>
      </c>
      <c r="G87" s="34">
        <f ca="1">IFERROR(__xludf.DUMMYFUNCTION("""COMPUTED_VALUE"""),4)</f>
        <v>4</v>
      </c>
      <c r="H87" s="34">
        <f ca="1">IFERROR(__xludf.DUMMYFUNCTION("""COMPUTED_VALUE"""),8)</f>
        <v>8</v>
      </c>
      <c r="I87" s="34">
        <f ca="1">IFERROR(__xludf.DUMMYFUNCTION("""COMPUTED_VALUE"""),7)</f>
        <v>7</v>
      </c>
      <c r="J87" s="34">
        <v>9</v>
      </c>
      <c r="K87" s="34"/>
      <c r="L87" s="34"/>
      <c r="M87" s="33">
        <f t="shared" ca="1" si="3"/>
        <v>28</v>
      </c>
      <c r="N87" s="33"/>
      <c r="O87" s="86">
        <f t="shared" ca="1" si="4"/>
        <v>28</v>
      </c>
      <c r="P87" s="86">
        <v>81</v>
      </c>
      <c r="Q87" s="50" t="s">
        <v>83</v>
      </c>
      <c r="R87" s="20"/>
      <c r="S87" s="20"/>
      <c r="T87" s="20"/>
    </row>
    <row r="88" spans="1:20" ht="12.75" x14ac:dyDescent="0.2">
      <c r="A88" s="33">
        <v>81</v>
      </c>
      <c r="B88" s="59" t="str">
        <f ca="1">IFERROR(__xludf.DUMMYFUNCTION("""COMPUTED_VALUE"""),"Кондратьев Михаил Анатольевич")</f>
        <v>Кондратьев Михаил Анатольевич</v>
      </c>
      <c r="C88" s="56"/>
      <c r="D88" s="57" t="str">
        <f ca="1">IFERROR(__xludf.DUMMYFUNCTION("""COMPUTED_VALUE"""),"МОУ ""СОШ п. им. К. Маркса""")</f>
        <v>МОУ "СОШ п. им. К. Маркса"</v>
      </c>
      <c r="E88" s="34">
        <f ca="1">IFERROR(__xludf.DUMMYFUNCTION("""COMPUTED_VALUE"""),6)</f>
        <v>6</v>
      </c>
      <c r="F88" s="56" t="str">
        <f ca="1">IFERROR(__xludf.DUMMYFUNCTION("""COMPUTED_VALUE"""),"Постнова Ольга Вениаминовна")</f>
        <v>Постнова Ольга Вениаминовна</v>
      </c>
      <c r="G88" s="34">
        <f ca="1">IFERROR(__xludf.DUMMYFUNCTION("""COMPUTED_VALUE"""),4)</f>
        <v>4</v>
      </c>
      <c r="H88" s="34">
        <f ca="1">IFERROR(__xludf.DUMMYFUNCTION("""COMPUTED_VALUE"""),8)</f>
        <v>8</v>
      </c>
      <c r="I88" s="34">
        <f ca="1">IFERROR(__xludf.DUMMYFUNCTION("""COMPUTED_VALUE"""),7)</f>
        <v>7</v>
      </c>
      <c r="J88" s="34">
        <v>9</v>
      </c>
      <c r="K88" s="34"/>
      <c r="L88" s="34"/>
      <c r="M88" s="33">
        <f t="shared" ca="1" si="3"/>
        <v>28</v>
      </c>
      <c r="N88" s="33"/>
      <c r="O88" s="86">
        <f t="shared" ca="1" si="4"/>
        <v>28</v>
      </c>
      <c r="P88" s="33">
        <v>82</v>
      </c>
      <c r="Q88" s="50" t="s">
        <v>83</v>
      </c>
      <c r="R88" s="20"/>
      <c r="S88" s="20"/>
      <c r="T88" s="20"/>
    </row>
    <row r="89" spans="1:20" ht="12.75" x14ac:dyDescent="0.2">
      <c r="A89" s="33">
        <v>82</v>
      </c>
      <c r="B89" s="59" t="str">
        <f ca="1">IFERROR(__xludf.DUMMYFUNCTION("""COMPUTED_VALUE"""),"Вольков Евгений Артемович")</f>
        <v>Вольков Евгений Артемович</v>
      </c>
      <c r="C89" s="56"/>
      <c r="D89" s="57" t="str">
        <f ca="1">IFERROR(__xludf.DUMMYFUNCTION("""COMPUTED_VALUE"""),"МОУ ""ООШ с. Ленинское""")</f>
        <v>МОУ "ООШ с. Ленинское"</v>
      </c>
      <c r="E89" s="34">
        <f ca="1">IFERROR(__xludf.DUMMYFUNCTION("""COMPUTED_VALUE"""),6)</f>
        <v>6</v>
      </c>
      <c r="F89" s="56" t="str">
        <f ca="1">IFERROR(__xludf.DUMMYFUNCTION("""COMPUTED_VALUE"""),"Савиных Людмила Васильевна")</f>
        <v>Савиных Людмила Васильевна</v>
      </c>
      <c r="G89" s="34">
        <f ca="1">IFERROR(__xludf.DUMMYFUNCTION("""COMPUTED_VALUE"""),6)</f>
        <v>6</v>
      </c>
      <c r="H89" s="34">
        <f ca="1">IFERROR(__xludf.DUMMYFUNCTION("""COMPUTED_VALUE"""),6)</f>
        <v>6</v>
      </c>
      <c r="I89" s="34">
        <f ca="1">IFERROR(__xludf.DUMMYFUNCTION("""COMPUTED_VALUE"""),3)</f>
        <v>3</v>
      </c>
      <c r="J89" s="34">
        <v>12</v>
      </c>
      <c r="K89" s="34"/>
      <c r="L89" s="34"/>
      <c r="M89" s="33">
        <f t="shared" ca="1" si="3"/>
        <v>27</v>
      </c>
      <c r="N89" s="33"/>
      <c r="O89" s="86">
        <f t="shared" ca="1" si="4"/>
        <v>27</v>
      </c>
      <c r="P89" s="86">
        <v>83</v>
      </c>
      <c r="Q89" s="50" t="s">
        <v>83</v>
      </c>
      <c r="R89" s="20"/>
      <c r="S89" s="20"/>
      <c r="T89" s="20"/>
    </row>
    <row r="90" spans="1:20" ht="12.75" x14ac:dyDescent="0.2">
      <c r="A90" s="33">
        <v>83</v>
      </c>
      <c r="B90" s="59" t="str">
        <f ca="1">IFERROR(__xludf.DUMMYFUNCTION("""COMPUTED_VALUE"""),"Проценко Артём Сергеевич")</f>
        <v>Проценко Артём Сергеевич</v>
      </c>
      <c r="C90" s="56"/>
      <c r="D90" s="57" t="str">
        <f ca="1">IFERROR(__xludf.DUMMYFUNCTION("""COMPUTED_VALUE"""),"МОУ ""СОШ п. им. К. Маркса""")</f>
        <v>МОУ "СОШ п. им. К. Маркса"</v>
      </c>
      <c r="E90" s="34">
        <f ca="1">IFERROR(__xludf.DUMMYFUNCTION("""COMPUTED_VALUE"""),6)</f>
        <v>6</v>
      </c>
      <c r="F90" s="56" t="str">
        <f ca="1">IFERROR(__xludf.DUMMYFUNCTION("""COMPUTED_VALUE"""),"Постнова Ольга Вениаминовна")</f>
        <v>Постнова Ольга Вениаминовна</v>
      </c>
      <c r="G90" s="34">
        <f ca="1">IFERROR(__xludf.DUMMYFUNCTION("""COMPUTED_VALUE"""),8)</f>
        <v>8</v>
      </c>
      <c r="H90" s="34">
        <f ca="1">IFERROR(__xludf.DUMMYFUNCTION("""COMPUTED_VALUE"""),0)</f>
        <v>0</v>
      </c>
      <c r="I90" s="34">
        <f ca="1">IFERROR(__xludf.DUMMYFUNCTION("""COMPUTED_VALUE"""),8)</f>
        <v>8</v>
      </c>
      <c r="J90" s="34">
        <v>11</v>
      </c>
      <c r="K90" s="34"/>
      <c r="L90" s="34"/>
      <c r="M90" s="33">
        <f t="shared" ca="1" si="3"/>
        <v>27</v>
      </c>
      <c r="N90" s="33"/>
      <c r="O90" s="86">
        <f t="shared" ca="1" si="4"/>
        <v>27</v>
      </c>
      <c r="P90" s="33">
        <v>84</v>
      </c>
      <c r="Q90" s="50" t="s">
        <v>83</v>
      </c>
      <c r="R90" s="20"/>
      <c r="S90" s="20"/>
      <c r="T90" s="20"/>
    </row>
    <row r="91" spans="1:20" ht="12.75" x14ac:dyDescent="0.2">
      <c r="A91" s="33">
        <v>84</v>
      </c>
      <c r="B91" s="59" t="str">
        <f ca="1">IFERROR(__xludf.DUMMYFUNCTION("""COMPUTED_VALUE"""),"Шуйпанов Данияр Маратович")</f>
        <v>Шуйпанов Данияр Маратович</v>
      </c>
      <c r="C91" s="56"/>
      <c r="D91" s="57" t="str">
        <f ca="1">IFERROR(__xludf.DUMMYFUNCTION("""COMPUTED_VALUE"""),"МОУ ""СОШ п. им. К. Маркса""")</f>
        <v>МОУ "СОШ п. им. К. Маркса"</v>
      </c>
      <c r="E91" s="34">
        <f ca="1">IFERROR(__xludf.DUMMYFUNCTION("""COMPUTED_VALUE"""),6)</f>
        <v>6</v>
      </c>
      <c r="F91" s="56" t="str">
        <f ca="1">IFERROR(__xludf.DUMMYFUNCTION("""COMPUTED_VALUE"""),"Постнова Ольга Вениаминовна")</f>
        <v>Постнова Ольга Вениаминовна</v>
      </c>
      <c r="G91" s="34">
        <f ca="1">IFERROR(__xludf.DUMMYFUNCTION("""COMPUTED_VALUE"""),4)</f>
        <v>4</v>
      </c>
      <c r="H91" s="34">
        <f ca="1">IFERROR(__xludf.DUMMYFUNCTION("""COMPUTED_VALUE"""),8)</f>
        <v>8</v>
      </c>
      <c r="I91" s="34">
        <f ca="1">IFERROR(__xludf.DUMMYFUNCTION("""COMPUTED_VALUE"""),5)</f>
        <v>5</v>
      </c>
      <c r="J91" s="34">
        <v>10</v>
      </c>
      <c r="K91" s="34"/>
      <c r="L91" s="34"/>
      <c r="M91" s="33">
        <f t="shared" ca="1" si="3"/>
        <v>27</v>
      </c>
      <c r="N91" s="33"/>
      <c r="O91" s="86">
        <f t="shared" ca="1" si="4"/>
        <v>27</v>
      </c>
      <c r="P91" s="86">
        <v>85</v>
      </c>
      <c r="Q91" s="50" t="s">
        <v>83</v>
      </c>
      <c r="R91" s="20"/>
      <c r="S91" s="20"/>
      <c r="T91" s="20"/>
    </row>
    <row r="92" spans="1:20" ht="12.75" x14ac:dyDescent="0.2">
      <c r="A92" s="33">
        <v>85</v>
      </c>
      <c r="B92" s="60" t="str">
        <f ca="1">IFERROR(__xludf.DUMMYFUNCTION("""COMPUTED_VALUE"""),"Сысоев Роман Дмитриевич")</f>
        <v>Сысоев Роман Дмитриевич</v>
      </c>
      <c r="C92" s="56"/>
      <c r="D92" s="57" t="str">
        <f ca="1">IFERROR(__xludf.DUMMYFUNCTION("""COMPUTED_VALUE"""),"МОУ ""СОШ №19""")</f>
        <v>МОУ "СОШ №19"</v>
      </c>
      <c r="E92" s="34">
        <f ca="1">IFERROR(__xludf.DUMMYFUNCTION("""COMPUTED_VALUE"""),6)</f>
        <v>6</v>
      </c>
      <c r="F92" s="56" t="str">
        <f ca="1">IFERROR(__xludf.DUMMYFUNCTION("""COMPUTED_VALUE"""),"Бахтина Татьяна Юрьевна")</f>
        <v>Бахтина Татьяна Юрьевна</v>
      </c>
      <c r="G92" s="34">
        <f ca="1">IFERROR(__xludf.DUMMYFUNCTION("""COMPUTED_VALUE"""),6)</f>
        <v>6</v>
      </c>
      <c r="H92" s="34">
        <f ca="1">IFERROR(__xludf.DUMMYFUNCTION("""COMPUTED_VALUE"""),8)</f>
        <v>8</v>
      </c>
      <c r="I92" s="34">
        <f ca="1">IFERROR(__xludf.DUMMYFUNCTION("""COMPUTED_VALUE"""),0)</f>
        <v>0</v>
      </c>
      <c r="J92" s="34">
        <v>13</v>
      </c>
      <c r="K92" s="34"/>
      <c r="L92" s="34"/>
      <c r="M92" s="33">
        <f t="shared" ca="1" si="3"/>
        <v>27</v>
      </c>
      <c r="N92" s="33"/>
      <c r="O92" s="86">
        <f t="shared" ca="1" si="4"/>
        <v>27</v>
      </c>
      <c r="P92" s="33">
        <v>86</v>
      </c>
      <c r="Q92" s="50" t="s">
        <v>83</v>
      </c>
      <c r="R92" s="20"/>
      <c r="S92" s="20"/>
      <c r="T92" s="20"/>
    </row>
    <row r="93" spans="1:20" ht="12.75" x14ac:dyDescent="0.2">
      <c r="A93" s="33">
        <v>86</v>
      </c>
      <c r="B93" s="59" t="str">
        <f ca="1">IFERROR(__xludf.DUMMYFUNCTION("""COMPUTED_VALUE"""),"Шевченко Никита Сергеевич")</f>
        <v>Шевченко Никита Сергеевич</v>
      </c>
      <c r="C93" s="56"/>
      <c r="D93" s="57" t="str">
        <f ca="1">IFERROR(__xludf.DUMMYFUNCTION("""COMPUTED_VALUE"""),"МОУ ""СОШ №33""")</f>
        <v>МОУ "СОШ №33"</v>
      </c>
      <c r="E93" s="34">
        <f ca="1">IFERROR(__xludf.DUMMYFUNCTION("""COMPUTED_VALUE"""),6)</f>
        <v>6</v>
      </c>
      <c r="F93" s="56" t="str">
        <f ca="1">IFERROR(__xludf.DUMMYFUNCTION("""COMPUTED_VALUE"""),"Сибряева Надежда Васильевна")</f>
        <v>Сибряева Надежда Васильевна</v>
      </c>
      <c r="G93" s="34">
        <f ca="1">IFERROR(__xludf.DUMMYFUNCTION("""COMPUTED_VALUE"""),7)</f>
        <v>7</v>
      </c>
      <c r="H93" s="34">
        <f ca="1">IFERROR(__xludf.DUMMYFUNCTION("""COMPUTED_VALUE"""),4)</f>
        <v>4</v>
      </c>
      <c r="I93" s="34">
        <f ca="1">IFERROR(__xludf.DUMMYFUNCTION("""COMPUTED_VALUE"""),4)</f>
        <v>4</v>
      </c>
      <c r="J93" s="34">
        <f ca="1">IFERROR(__xludf.DUMMYFUNCTION("""COMPUTED_VALUE"""),12)</f>
        <v>12</v>
      </c>
      <c r="K93" s="34"/>
      <c r="L93" s="34"/>
      <c r="M93" s="33">
        <f t="shared" ca="1" si="3"/>
        <v>27</v>
      </c>
      <c r="N93" s="43"/>
      <c r="O93" s="86">
        <f t="shared" ca="1" si="4"/>
        <v>27</v>
      </c>
      <c r="P93" s="86">
        <v>87</v>
      </c>
      <c r="Q93" s="50" t="s">
        <v>83</v>
      </c>
      <c r="R93" s="20"/>
      <c r="S93" s="20"/>
      <c r="T93" s="20"/>
    </row>
    <row r="94" spans="1:20" ht="12.75" x14ac:dyDescent="0.2">
      <c r="A94" s="33">
        <v>87</v>
      </c>
      <c r="B94" s="59" t="str">
        <f ca="1">IFERROR(__xludf.DUMMYFUNCTION("""COMPUTED_VALUE"""),"Сборщикова Анастасия Сергеевна")</f>
        <v>Сборщикова Анастасия Сергеевна</v>
      </c>
      <c r="C94" s="56"/>
      <c r="D94" s="57" t="str">
        <f ca="1">IFERROR(__xludf.DUMMYFUNCTION("""COMPUTED_VALUE"""),"МОУ ""СОШ №33""")</f>
        <v>МОУ "СОШ №33"</v>
      </c>
      <c r="E94" s="34">
        <f ca="1">IFERROR(__xludf.DUMMYFUNCTION("""COMPUTED_VALUE"""),6)</f>
        <v>6</v>
      </c>
      <c r="F94" s="56" t="str">
        <f ca="1">IFERROR(__xludf.DUMMYFUNCTION("""COMPUTED_VALUE"""),"Сибряева Надежда Васильевна")</f>
        <v>Сибряева Надежда Васильевна</v>
      </c>
      <c r="G94" s="34">
        <f ca="1">IFERROR(__xludf.DUMMYFUNCTION("""COMPUTED_VALUE"""),2)</f>
        <v>2</v>
      </c>
      <c r="H94" s="34">
        <f ca="1">IFERROR(__xludf.DUMMYFUNCTION("""COMPUTED_VALUE"""),6)</f>
        <v>6</v>
      </c>
      <c r="I94" s="34">
        <f ca="1">IFERROR(__xludf.DUMMYFUNCTION("""COMPUTED_VALUE"""),6)</f>
        <v>6</v>
      </c>
      <c r="J94" s="34">
        <f ca="1">IFERROR(__xludf.DUMMYFUNCTION("""COMPUTED_VALUE"""),13)</f>
        <v>13</v>
      </c>
      <c r="K94" s="34"/>
      <c r="L94" s="34"/>
      <c r="M94" s="33">
        <f t="shared" ca="1" si="3"/>
        <v>27</v>
      </c>
      <c r="N94" s="43"/>
      <c r="O94" s="86">
        <f t="shared" ca="1" si="4"/>
        <v>27</v>
      </c>
      <c r="P94" s="33">
        <v>88</v>
      </c>
      <c r="Q94" s="50" t="s">
        <v>83</v>
      </c>
      <c r="R94" s="20"/>
      <c r="S94" s="20"/>
      <c r="T94" s="20"/>
    </row>
    <row r="95" spans="1:20" ht="12.75" x14ac:dyDescent="0.2">
      <c r="A95" s="33">
        <v>88</v>
      </c>
      <c r="B95" s="59" t="str">
        <f ca="1">IFERROR(__xludf.DUMMYFUNCTION("""COMPUTED_VALUE"""),"Клюева  Олеся Сергеевна")</f>
        <v>Клюева  Олеся Сергеевна</v>
      </c>
      <c r="C95" s="56"/>
      <c r="D95" s="57" t="str">
        <f ca="1">IFERROR(__xludf.DUMMYFUNCTION("""COMPUTED_VALUE"""),"МОУ ""СОШ №33""")</f>
        <v>МОУ "СОШ №33"</v>
      </c>
      <c r="E95" s="34">
        <f ca="1">IFERROR(__xludf.DUMMYFUNCTION("""COMPUTED_VALUE"""),6)</f>
        <v>6</v>
      </c>
      <c r="F95" s="56" t="str">
        <f ca="1">IFERROR(__xludf.DUMMYFUNCTION("""COMPUTED_VALUE"""),"Сибряева Надежда Васильевна")</f>
        <v>Сибряева Надежда Васильевна</v>
      </c>
      <c r="G95" s="34">
        <f ca="1">IFERROR(__xludf.DUMMYFUNCTION("""COMPUTED_VALUE"""),4)</f>
        <v>4</v>
      </c>
      <c r="H95" s="34">
        <f ca="1">IFERROR(__xludf.DUMMYFUNCTION("""COMPUTED_VALUE"""),6)</f>
        <v>6</v>
      </c>
      <c r="I95" s="34">
        <f ca="1">IFERROR(__xludf.DUMMYFUNCTION("""COMPUTED_VALUE"""),6)</f>
        <v>6</v>
      </c>
      <c r="J95" s="34">
        <f ca="1">IFERROR(__xludf.DUMMYFUNCTION("""COMPUTED_VALUE"""),11)</f>
        <v>11</v>
      </c>
      <c r="K95" s="34"/>
      <c r="L95" s="34"/>
      <c r="M95" s="33">
        <f t="shared" ca="1" si="3"/>
        <v>27</v>
      </c>
      <c r="N95" s="43"/>
      <c r="O95" s="86">
        <f t="shared" ca="1" si="4"/>
        <v>27</v>
      </c>
      <c r="P95" s="86">
        <v>89</v>
      </c>
      <c r="Q95" s="50" t="s">
        <v>83</v>
      </c>
      <c r="R95" s="20"/>
      <c r="S95" s="20"/>
      <c r="T95" s="20"/>
    </row>
    <row r="96" spans="1:20" ht="12.75" x14ac:dyDescent="0.2">
      <c r="A96" s="33">
        <v>89</v>
      </c>
      <c r="B96" s="59" t="str">
        <f ca="1">IFERROR(__xludf.DUMMYFUNCTION("""COMPUTED_VALUE"""),"Королев Андрей Сергеевич")</f>
        <v>Королев Андрей Сергеевич</v>
      </c>
      <c r="C96" s="56"/>
      <c r="D96" s="57" t="str">
        <f ca="1">IFERROR(__xludf.DUMMYFUNCTION("""COMPUTED_VALUE"""),"МОУ ""СОШ п. им. К. Маркса""")</f>
        <v>МОУ "СОШ п. им. К. Маркса"</v>
      </c>
      <c r="E96" s="34">
        <f ca="1">IFERROR(__xludf.DUMMYFUNCTION("""COMPUTED_VALUE"""),6)</f>
        <v>6</v>
      </c>
      <c r="F96" s="56" t="str">
        <f ca="1">IFERROR(__xludf.DUMMYFUNCTION("""COMPUTED_VALUE"""),"Постнова Ольга Вениаминовна")</f>
        <v>Постнова Ольга Вениаминовна</v>
      </c>
      <c r="G96" s="34">
        <f ca="1">IFERROR(__xludf.DUMMYFUNCTION("""COMPUTED_VALUE"""),3)</f>
        <v>3</v>
      </c>
      <c r="H96" s="34">
        <f ca="1">IFERROR(__xludf.DUMMYFUNCTION("""COMPUTED_VALUE"""),4)</f>
        <v>4</v>
      </c>
      <c r="I96" s="34">
        <f ca="1">IFERROR(__xludf.DUMMYFUNCTION("""COMPUTED_VALUE"""),7)</f>
        <v>7</v>
      </c>
      <c r="J96" s="34">
        <v>13</v>
      </c>
      <c r="K96" s="34"/>
      <c r="L96" s="34"/>
      <c r="M96" s="33">
        <f t="shared" ca="1" si="3"/>
        <v>27</v>
      </c>
      <c r="N96" s="33"/>
      <c r="O96" s="86">
        <f t="shared" ca="1" si="4"/>
        <v>27</v>
      </c>
      <c r="P96" s="33">
        <v>90</v>
      </c>
      <c r="Q96" s="50" t="s">
        <v>83</v>
      </c>
      <c r="R96" s="20"/>
      <c r="S96" s="20"/>
      <c r="T96" s="20"/>
    </row>
    <row r="97" spans="1:20" ht="12.75" x14ac:dyDescent="0.2">
      <c r="A97" s="33">
        <v>90</v>
      </c>
      <c r="B97" s="60" t="str">
        <f ca="1">IFERROR(__xludf.DUMMYFUNCTION("""COMPUTED_VALUE"""),"Проценко Артём Сергеевич")</f>
        <v>Проценко Артём Сергеевич</v>
      </c>
      <c r="C97" s="56"/>
      <c r="D97" s="57" t="str">
        <f ca="1">IFERROR(__xludf.DUMMYFUNCTION("""COMPUTED_VALUE"""),"МОУ ""СОШ п. им. К. Маркса""")</f>
        <v>МОУ "СОШ п. им. К. Маркса"</v>
      </c>
      <c r="E97" s="34">
        <f ca="1">IFERROR(__xludf.DUMMYFUNCTION("""COMPUTED_VALUE"""),6)</f>
        <v>6</v>
      </c>
      <c r="F97" s="56" t="str">
        <f ca="1">IFERROR(__xludf.DUMMYFUNCTION("""COMPUTED_VALUE"""),"Постнова Ольга Вениаминовна")</f>
        <v>Постнова Ольга Вениаминовна</v>
      </c>
      <c r="G97" s="34">
        <f ca="1">IFERROR(__xludf.DUMMYFUNCTION("""COMPUTED_VALUE"""),8)</f>
        <v>8</v>
      </c>
      <c r="H97" s="34">
        <f ca="1">IFERROR(__xludf.DUMMYFUNCTION("""COMPUTED_VALUE"""),0)</f>
        <v>0</v>
      </c>
      <c r="I97" s="34">
        <f ca="1">IFERROR(__xludf.DUMMYFUNCTION("""COMPUTED_VALUE"""),8)</f>
        <v>8</v>
      </c>
      <c r="J97" s="34">
        <v>11</v>
      </c>
      <c r="K97" s="34"/>
      <c r="L97" s="34"/>
      <c r="M97" s="33">
        <f t="shared" ca="1" si="3"/>
        <v>27</v>
      </c>
      <c r="N97" s="33"/>
      <c r="O97" s="86">
        <f t="shared" ca="1" si="4"/>
        <v>27</v>
      </c>
      <c r="P97" s="86">
        <v>91</v>
      </c>
      <c r="Q97" s="50" t="s">
        <v>83</v>
      </c>
      <c r="R97" s="20"/>
      <c r="S97" s="20"/>
      <c r="T97" s="20"/>
    </row>
    <row r="98" spans="1:20" ht="12.75" x14ac:dyDescent="0.2">
      <c r="A98" s="33">
        <v>91</v>
      </c>
      <c r="B98" s="59" t="str">
        <f ca="1">IFERROR(__xludf.DUMMYFUNCTION("""COMPUTED_VALUE"""),"Шуйпанов Данияр Маратович")</f>
        <v>Шуйпанов Данияр Маратович</v>
      </c>
      <c r="C98" s="56"/>
      <c r="D98" s="57" t="str">
        <f ca="1">IFERROR(__xludf.DUMMYFUNCTION("""COMPUTED_VALUE"""),"МОУ ""СОШ п. им. К. Маркса""")</f>
        <v>МОУ "СОШ п. им. К. Маркса"</v>
      </c>
      <c r="E98" s="34">
        <f ca="1">IFERROR(__xludf.DUMMYFUNCTION("""COMPUTED_VALUE"""),6)</f>
        <v>6</v>
      </c>
      <c r="F98" s="56" t="str">
        <f ca="1">IFERROR(__xludf.DUMMYFUNCTION("""COMPUTED_VALUE"""),"Постнова Ольга Вениаминовна")</f>
        <v>Постнова Ольга Вениаминовна</v>
      </c>
      <c r="G98" s="34">
        <f ca="1">IFERROR(__xludf.DUMMYFUNCTION("""COMPUTED_VALUE"""),4)</f>
        <v>4</v>
      </c>
      <c r="H98" s="34">
        <f ca="1">IFERROR(__xludf.DUMMYFUNCTION("""COMPUTED_VALUE"""),8)</f>
        <v>8</v>
      </c>
      <c r="I98" s="34">
        <f ca="1">IFERROR(__xludf.DUMMYFUNCTION("""COMPUTED_VALUE"""),5)</f>
        <v>5</v>
      </c>
      <c r="J98" s="34">
        <v>10</v>
      </c>
      <c r="K98" s="34"/>
      <c r="L98" s="34"/>
      <c r="M98" s="33">
        <f t="shared" ca="1" si="3"/>
        <v>27</v>
      </c>
      <c r="N98" s="33"/>
      <c r="O98" s="86">
        <f t="shared" ca="1" si="4"/>
        <v>27</v>
      </c>
      <c r="P98" s="33">
        <v>92</v>
      </c>
      <c r="Q98" s="50" t="s">
        <v>83</v>
      </c>
      <c r="R98" s="20"/>
      <c r="S98" s="20"/>
      <c r="T98" s="20"/>
    </row>
    <row r="99" spans="1:20" ht="12.75" x14ac:dyDescent="0.2">
      <c r="A99" s="33">
        <v>92</v>
      </c>
      <c r="B99" s="52" t="str">
        <f ca="1">IFERROR(__xludf.DUMMYFUNCTION("""COMPUTED_VALUE"""),"Лавринович Полина Игоревна")</f>
        <v>Лавринович Полина Игоревна</v>
      </c>
      <c r="C99" s="53"/>
      <c r="D99" s="54" t="str">
        <f ca="1">IFERROR(__xludf.DUMMYFUNCTION("""COMPUTED_VALUE"""),"МОУ ""СОШ им. Ю.А. Гагарина """)</f>
        <v>МОУ "СОШ им. Ю.А. Гагарина "</v>
      </c>
      <c r="E99" s="33">
        <f ca="1">IFERROR(__xludf.DUMMYFUNCTION("""COMPUTED_VALUE"""),6)</f>
        <v>6</v>
      </c>
      <c r="F99" s="53" t="str">
        <f ca="1">IFERROR(__xludf.DUMMYFUNCTION("""COMPUTED_VALUE"""),"Мищенко Ирина Николаевна")</f>
        <v>Мищенко Ирина Николаевна</v>
      </c>
      <c r="G99" s="33">
        <f ca="1">IFERROR(__xludf.DUMMYFUNCTION("""COMPUTED_VALUE"""),3)</f>
        <v>3</v>
      </c>
      <c r="H99" s="33">
        <f ca="1">IFERROR(__xludf.DUMMYFUNCTION("""COMPUTED_VALUE"""),6)</f>
        <v>6</v>
      </c>
      <c r="I99" s="33">
        <f ca="1">IFERROR(__xludf.DUMMYFUNCTION("""COMPUTED_VALUE"""),5)</f>
        <v>5</v>
      </c>
      <c r="J99" s="33">
        <f ca="1">IFERROR(__xludf.DUMMYFUNCTION("""COMPUTED_VALUE"""),12)</f>
        <v>12</v>
      </c>
      <c r="K99" s="33"/>
      <c r="L99" s="33"/>
      <c r="M99" s="33">
        <f t="shared" ca="1" si="3"/>
        <v>26</v>
      </c>
      <c r="N99" s="43"/>
      <c r="O99" s="86">
        <f t="shared" ca="1" si="4"/>
        <v>26</v>
      </c>
      <c r="P99" s="86">
        <v>93</v>
      </c>
      <c r="Q99" s="50" t="s">
        <v>83</v>
      </c>
      <c r="R99" s="20"/>
      <c r="S99" s="20"/>
      <c r="T99" s="20"/>
    </row>
    <row r="100" spans="1:20" ht="12.75" x14ac:dyDescent="0.2">
      <c r="A100" s="33">
        <v>93</v>
      </c>
      <c r="B100" s="52" t="str">
        <f ca="1">IFERROR(__xludf.DUMMYFUNCTION("""COMPUTED_VALUE"""),"Шутенко Александра Аександровна")</f>
        <v>Шутенко Александра Аександровна</v>
      </c>
      <c r="C100" s="53"/>
      <c r="D100" s="54" t="str">
        <f ca="1">IFERROR(__xludf.DUMMYFUNCTION("""COMPUTED_VALUE"""),"МОУ ""СОШ №19""")</f>
        <v>МОУ "СОШ №19"</v>
      </c>
      <c r="E100" s="33">
        <f ca="1">IFERROR(__xludf.DUMMYFUNCTION("""COMPUTED_VALUE"""),6)</f>
        <v>6</v>
      </c>
      <c r="F100" s="53" t="str">
        <f ca="1">IFERROR(__xludf.DUMMYFUNCTION("""COMPUTED_VALUE"""),"Бахтина Татьяна Юрьевна")</f>
        <v>Бахтина Татьяна Юрьевна</v>
      </c>
      <c r="G100" s="33">
        <f ca="1">IFERROR(__xludf.DUMMYFUNCTION("""COMPUTED_VALUE"""),4)</f>
        <v>4</v>
      </c>
      <c r="H100" s="33">
        <f ca="1">IFERROR(__xludf.DUMMYFUNCTION("""COMPUTED_VALUE"""),4)</f>
        <v>4</v>
      </c>
      <c r="I100" s="33">
        <f ca="1">IFERROR(__xludf.DUMMYFUNCTION("""COMPUTED_VALUE"""),7)</f>
        <v>7</v>
      </c>
      <c r="J100" s="33">
        <v>11</v>
      </c>
      <c r="K100" s="33"/>
      <c r="L100" s="33"/>
      <c r="M100" s="33">
        <f t="shared" ca="1" si="3"/>
        <v>26</v>
      </c>
      <c r="N100" s="33"/>
      <c r="O100" s="86">
        <f t="shared" ca="1" si="4"/>
        <v>26</v>
      </c>
      <c r="P100" s="33">
        <v>94</v>
      </c>
      <c r="Q100" s="50" t="s">
        <v>83</v>
      </c>
      <c r="R100" s="20"/>
      <c r="S100" s="20"/>
      <c r="T100" s="20"/>
    </row>
    <row r="101" spans="1:20" ht="12.75" x14ac:dyDescent="0.2">
      <c r="A101" s="33">
        <v>94</v>
      </c>
      <c r="B101" s="52" t="str">
        <f ca="1">IFERROR(__xludf.DUMMYFUNCTION("""COMPUTED_VALUE"""),"Александрова Мария Андреевна")</f>
        <v>Александрова Мария Андреевна</v>
      </c>
      <c r="C101" s="53"/>
      <c r="D101" s="54" t="str">
        <f ca="1">IFERROR(__xludf.DUMMYFUNCTION("""COMPUTED_VALUE"""),"МОУ ""СОШ №19""")</f>
        <v>МОУ "СОШ №19"</v>
      </c>
      <c r="E101" s="33">
        <f ca="1">IFERROR(__xludf.DUMMYFUNCTION("""COMPUTED_VALUE"""),6)</f>
        <v>6</v>
      </c>
      <c r="F101" s="53" t="str">
        <f ca="1">IFERROR(__xludf.DUMMYFUNCTION("""COMPUTED_VALUE"""),"Бахтина Татьяна Юрьевна")</f>
        <v>Бахтина Татьяна Юрьевна</v>
      </c>
      <c r="G101" s="33">
        <f ca="1">IFERROR(__xludf.DUMMYFUNCTION("""COMPUTED_VALUE"""),6)</f>
        <v>6</v>
      </c>
      <c r="H101" s="33">
        <f ca="1">IFERROR(__xludf.DUMMYFUNCTION("""COMPUTED_VALUE"""),4)</f>
        <v>4</v>
      </c>
      <c r="I101" s="33">
        <f ca="1">IFERROR(__xludf.DUMMYFUNCTION("""COMPUTED_VALUE"""),7)</f>
        <v>7</v>
      </c>
      <c r="J101" s="33">
        <v>9</v>
      </c>
      <c r="K101" s="33"/>
      <c r="L101" s="33"/>
      <c r="M101" s="33">
        <f t="shared" ca="1" si="3"/>
        <v>26</v>
      </c>
      <c r="N101" s="33"/>
      <c r="O101" s="86">
        <f t="shared" ca="1" si="4"/>
        <v>26</v>
      </c>
      <c r="P101" s="86">
        <v>95</v>
      </c>
      <c r="Q101" s="50" t="s">
        <v>83</v>
      </c>
      <c r="R101" s="20"/>
      <c r="S101" s="20"/>
      <c r="T101" s="20"/>
    </row>
    <row r="102" spans="1:20" ht="12.75" x14ac:dyDescent="0.2">
      <c r="A102" s="33">
        <v>95</v>
      </c>
      <c r="B102" s="52" t="str">
        <f ca="1">IFERROR(__xludf.DUMMYFUNCTION("""COMPUTED_VALUE"""),"Молдованенко Дарья Денисовна")</f>
        <v>Молдованенко Дарья Денисовна</v>
      </c>
      <c r="C102" s="53"/>
      <c r="D102" s="54" t="str">
        <f ca="1">IFERROR(__xludf.DUMMYFUNCTION("""COMPUTED_VALUE"""),"МОУ ""СОШ №24""")</f>
        <v>МОУ "СОШ №24"</v>
      </c>
      <c r="E102" s="33">
        <f ca="1">IFERROR(__xludf.DUMMYFUNCTION("""COMPUTED_VALUE"""),6)</f>
        <v>6</v>
      </c>
      <c r="F102" s="53" t="str">
        <f ca="1">IFERROR(__xludf.DUMMYFUNCTION("""COMPUTED_VALUE"""),"Моисеева Татьяна Владимировна")</f>
        <v>Моисеева Татьяна Владимировна</v>
      </c>
      <c r="G102" s="33">
        <f ca="1">IFERROR(__xludf.DUMMYFUNCTION("""COMPUTED_VALUE"""),4)</f>
        <v>4</v>
      </c>
      <c r="H102" s="33">
        <f ca="1">IFERROR(__xludf.DUMMYFUNCTION("""COMPUTED_VALUE"""),8)</f>
        <v>8</v>
      </c>
      <c r="I102" s="33">
        <f ca="1">IFERROR(__xludf.DUMMYFUNCTION("""COMPUTED_VALUE"""),7)</f>
        <v>7</v>
      </c>
      <c r="J102" s="33">
        <f ca="1">IFERROR(__xludf.DUMMYFUNCTION("""COMPUTED_VALUE"""),7)</f>
        <v>7</v>
      </c>
      <c r="K102" s="33"/>
      <c r="L102" s="33"/>
      <c r="M102" s="33">
        <f t="shared" ca="1" si="3"/>
        <v>26</v>
      </c>
      <c r="N102" s="43"/>
      <c r="O102" s="86">
        <f t="shared" ca="1" si="4"/>
        <v>26</v>
      </c>
      <c r="P102" s="33">
        <v>96</v>
      </c>
      <c r="Q102" s="50" t="s">
        <v>83</v>
      </c>
      <c r="R102" s="20"/>
      <c r="S102" s="20"/>
      <c r="T102" s="20"/>
    </row>
    <row r="103" spans="1:20" ht="12.75" x14ac:dyDescent="0.2">
      <c r="A103" s="33">
        <v>96</v>
      </c>
      <c r="B103" s="59" t="str">
        <f ca="1">IFERROR(__xludf.DUMMYFUNCTION("""COMPUTED_VALUE"""),"Фатхуллин Шамиль Расимович")</f>
        <v>Фатхуллин Шамиль Расимович</v>
      </c>
      <c r="C103" s="56"/>
      <c r="D103" s="57" t="str">
        <f ca="1">IFERROR(__xludf.DUMMYFUNCTION("""COMPUTED_VALUE"""),"МОУ ""СОШ п. им. К. Маркса""")</f>
        <v>МОУ "СОШ п. им. К. Маркса"</v>
      </c>
      <c r="E103" s="34">
        <f ca="1">IFERROR(__xludf.DUMMYFUNCTION("""COMPUTED_VALUE"""),6)</f>
        <v>6</v>
      </c>
      <c r="F103" s="56" t="str">
        <f ca="1">IFERROR(__xludf.DUMMYFUNCTION("""COMPUTED_VALUE"""),"Постнова Ольга Вениаминовна")</f>
        <v>Постнова Ольга Вениаминовна</v>
      </c>
      <c r="G103" s="34">
        <f ca="1">IFERROR(__xludf.DUMMYFUNCTION("""COMPUTED_VALUE"""),3)</f>
        <v>3</v>
      </c>
      <c r="H103" s="34">
        <f ca="1">IFERROR(__xludf.DUMMYFUNCTION("""COMPUTED_VALUE"""),8)</f>
        <v>8</v>
      </c>
      <c r="I103" s="34">
        <f ca="1">IFERROR(__xludf.DUMMYFUNCTION("""COMPUTED_VALUE"""),6)</f>
        <v>6</v>
      </c>
      <c r="J103" s="34">
        <v>9</v>
      </c>
      <c r="K103" s="34"/>
      <c r="L103" s="34"/>
      <c r="M103" s="33">
        <f t="shared" ref="M103:M134" ca="1" si="5">SUM(G103:J103)</f>
        <v>26</v>
      </c>
      <c r="N103" s="33"/>
      <c r="O103" s="86">
        <f t="shared" ca="1" si="4"/>
        <v>26</v>
      </c>
      <c r="P103" s="86">
        <v>97</v>
      </c>
      <c r="Q103" s="50" t="s">
        <v>83</v>
      </c>
      <c r="R103" s="20"/>
      <c r="S103" s="20"/>
      <c r="T103" s="20"/>
    </row>
    <row r="104" spans="1:20" ht="12.75" x14ac:dyDescent="0.2">
      <c r="A104" s="33">
        <v>97</v>
      </c>
      <c r="B104" s="59" t="str">
        <f ca="1">IFERROR(__xludf.DUMMYFUNCTION("""COMPUTED_VALUE"""),"Демков Святослав Олегович")</f>
        <v>Демков Святослав Олегович</v>
      </c>
      <c r="C104" s="56"/>
      <c r="D104" s="57" t="str">
        <f ca="1">IFERROR(__xludf.DUMMYFUNCTION("""COMPUTED_VALUE"""),"МОУ ""СОШ №19""")</f>
        <v>МОУ "СОШ №19"</v>
      </c>
      <c r="E104" s="34">
        <f ca="1">IFERROR(__xludf.DUMMYFUNCTION("""COMPUTED_VALUE"""),6)</f>
        <v>6</v>
      </c>
      <c r="F104" s="56" t="str">
        <f ca="1">IFERROR(__xludf.DUMMYFUNCTION("""COMPUTED_VALUE"""),"Бахтина Татьяна Юрьевна")</f>
        <v>Бахтина Татьяна Юрьевна</v>
      </c>
      <c r="G104" s="34">
        <f ca="1">IFERROR(__xludf.DUMMYFUNCTION("""COMPUTED_VALUE"""),5)</f>
        <v>5</v>
      </c>
      <c r="H104" s="34">
        <f ca="1">IFERROR(__xludf.DUMMYFUNCTION("""COMPUTED_VALUE"""),6)</f>
        <v>6</v>
      </c>
      <c r="I104" s="34">
        <f ca="1">IFERROR(__xludf.DUMMYFUNCTION("""COMPUTED_VALUE"""),6)</f>
        <v>6</v>
      </c>
      <c r="J104" s="34">
        <v>9</v>
      </c>
      <c r="K104" s="34"/>
      <c r="L104" s="34"/>
      <c r="M104" s="33">
        <f t="shared" ca="1" si="5"/>
        <v>26</v>
      </c>
      <c r="N104" s="33"/>
      <c r="O104" s="86">
        <f t="shared" ca="1" si="4"/>
        <v>26</v>
      </c>
      <c r="P104" s="33">
        <v>98</v>
      </c>
      <c r="Q104" s="50" t="s">
        <v>83</v>
      </c>
      <c r="R104" s="20"/>
      <c r="S104" s="20"/>
      <c r="T104" s="20"/>
    </row>
    <row r="105" spans="1:20" ht="12.75" x14ac:dyDescent="0.2">
      <c r="A105" s="33">
        <v>98</v>
      </c>
      <c r="B105" s="59" t="str">
        <f ca="1">IFERROR(__xludf.DUMMYFUNCTION("""COMPUTED_VALUE"""),"Кошевая Полина Максимовна")</f>
        <v>Кошевая Полина Максимовна</v>
      </c>
      <c r="C105" s="56"/>
      <c r="D105" s="57" t="str">
        <f ca="1">IFERROR(__xludf.DUMMYFUNCTION("""COMPUTED_VALUE"""),"МОУ ""СОШ №19""")</f>
        <v>МОУ "СОШ №19"</v>
      </c>
      <c r="E105" s="34">
        <f ca="1">IFERROR(__xludf.DUMMYFUNCTION("""COMPUTED_VALUE"""),6)</f>
        <v>6</v>
      </c>
      <c r="F105" s="56" t="str">
        <f ca="1">IFERROR(__xludf.DUMMYFUNCTION("""COMPUTED_VALUE"""),"Бахтина Татьяна Юрьевна")</f>
        <v>Бахтина Татьяна Юрьевна</v>
      </c>
      <c r="G105" s="34">
        <f ca="1">IFERROR(__xludf.DUMMYFUNCTION("""COMPUTED_VALUE"""),4)</f>
        <v>4</v>
      </c>
      <c r="H105" s="34">
        <f ca="1">IFERROR(__xludf.DUMMYFUNCTION("""COMPUTED_VALUE"""),8)</f>
        <v>8</v>
      </c>
      <c r="I105" s="34">
        <f ca="1">IFERROR(__xludf.DUMMYFUNCTION("""COMPUTED_VALUE"""),6)</f>
        <v>6</v>
      </c>
      <c r="J105" s="34">
        <v>8</v>
      </c>
      <c r="K105" s="34"/>
      <c r="L105" s="34"/>
      <c r="M105" s="33">
        <f t="shared" ca="1" si="5"/>
        <v>26</v>
      </c>
      <c r="N105" s="33"/>
      <c r="O105" s="86">
        <f t="shared" ca="1" si="4"/>
        <v>26</v>
      </c>
      <c r="P105" s="86">
        <v>99</v>
      </c>
      <c r="Q105" s="50" t="s">
        <v>83</v>
      </c>
      <c r="R105" s="20"/>
      <c r="S105" s="20"/>
      <c r="T105" s="20"/>
    </row>
    <row r="106" spans="1:20" ht="12.75" x14ac:dyDescent="0.2">
      <c r="A106" s="33">
        <v>99</v>
      </c>
      <c r="B106" s="55" t="str">
        <f ca="1">IFERROR(__xludf.DUMMYFUNCTION("IMPORTRANGE(""https://docs.google.com/spreadsheets/d/16CWr8ky6L0i1S4UOLMYHizeHS6aZnIDEnQPyRJyTpcI/edit#gid=0"", ""СОШ №33!B47:O49"")"),"Сараева Рая Сарваровна")</f>
        <v>Сараева Рая Сарваровна</v>
      </c>
      <c r="C106" s="56"/>
      <c r="D106" s="57" t="str">
        <f ca="1">IFERROR(__xludf.DUMMYFUNCTION("""COMPUTED_VALUE"""),"МОУ ""СОШ №33""")</f>
        <v>МОУ "СОШ №33"</v>
      </c>
      <c r="E106" s="34">
        <f ca="1">IFERROR(__xludf.DUMMYFUNCTION("""COMPUTED_VALUE"""),6)</f>
        <v>6</v>
      </c>
      <c r="F106" s="56" t="str">
        <f ca="1">IFERROR(__xludf.DUMMYFUNCTION("""COMPUTED_VALUE"""),"Сибряева Надежда Васильевна")</f>
        <v>Сибряева Надежда Васильевна</v>
      </c>
      <c r="G106" s="34">
        <f ca="1">IFERROR(__xludf.DUMMYFUNCTION("""COMPUTED_VALUE"""),7)</f>
        <v>7</v>
      </c>
      <c r="H106" s="34">
        <f ca="1">IFERROR(__xludf.DUMMYFUNCTION("""COMPUTED_VALUE"""),2)</f>
        <v>2</v>
      </c>
      <c r="I106" s="34">
        <f ca="1">IFERROR(__xludf.DUMMYFUNCTION("""COMPUTED_VALUE"""),7)</f>
        <v>7</v>
      </c>
      <c r="J106" s="34">
        <f ca="1">IFERROR(__xludf.DUMMYFUNCTION("""COMPUTED_VALUE"""),10)</f>
        <v>10</v>
      </c>
      <c r="K106" s="34"/>
      <c r="L106" s="34"/>
      <c r="M106" s="33">
        <f t="shared" ca="1" si="5"/>
        <v>26</v>
      </c>
      <c r="N106" s="43"/>
      <c r="O106" s="86">
        <f t="shared" ca="1" si="4"/>
        <v>26</v>
      </c>
      <c r="P106" s="33">
        <v>100</v>
      </c>
      <c r="Q106" s="50" t="s">
        <v>83</v>
      </c>
      <c r="R106" s="20"/>
      <c r="S106" s="20"/>
      <c r="T106" s="20"/>
    </row>
    <row r="107" spans="1:20" ht="12.75" x14ac:dyDescent="0.2">
      <c r="A107" s="33">
        <v>100</v>
      </c>
      <c r="B107" s="60" t="str">
        <f ca="1">IFERROR(__xludf.DUMMYFUNCTION("""COMPUTED_VALUE"""),"Шевченко Данил Сергеевич")</f>
        <v>Шевченко Данил Сергеевич</v>
      </c>
      <c r="C107" s="56"/>
      <c r="D107" s="57" t="str">
        <f ca="1">IFERROR(__xludf.DUMMYFUNCTION("""COMPUTED_VALUE"""),"МОУ ""СОШ №33""")</f>
        <v>МОУ "СОШ №33"</v>
      </c>
      <c r="E107" s="34">
        <f ca="1">IFERROR(__xludf.DUMMYFUNCTION("""COMPUTED_VALUE"""),6)</f>
        <v>6</v>
      </c>
      <c r="F107" s="56" t="str">
        <f ca="1">IFERROR(__xludf.DUMMYFUNCTION("""COMPUTED_VALUE"""),"Сибряева Надежда Васильевна")</f>
        <v>Сибряева Надежда Васильевна</v>
      </c>
      <c r="G107" s="34">
        <f ca="1">IFERROR(__xludf.DUMMYFUNCTION("""COMPUTED_VALUE"""),9)</f>
        <v>9</v>
      </c>
      <c r="H107" s="34">
        <f ca="1">IFERROR(__xludf.DUMMYFUNCTION("""COMPUTED_VALUE"""),0)</f>
        <v>0</v>
      </c>
      <c r="I107" s="34">
        <f ca="1">IFERROR(__xludf.DUMMYFUNCTION("""COMPUTED_VALUE"""),3)</f>
        <v>3</v>
      </c>
      <c r="J107" s="34">
        <f ca="1">IFERROR(__xludf.DUMMYFUNCTION("""COMPUTED_VALUE"""),14)</f>
        <v>14</v>
      </c>
      <c r="K107" s="34"/>
      <c r="L107" s="34"/>
      <c r="M107" s="33">
        <f t="shared" ca="1" si="5"/>
        <v>26</v>
      </c>
      <c r="N107" s="43"/>
      <c r="O107" s="86">
        <f t="shared" ca="1" si="4"/>
        <v>26</v>
      </c>
      <c r="P107" s="86">
        <v>101</v>
      </c>
      <c r="Q107" s="50" t="s">
        <v>83</v>
      </c>
      <c r="R107" s="20"/>
      <c r="S107" s="20"/>
      <c r="T107" s="20"/>
    </row>
    <row r="108" spans="1:20" ht="12.75" x14ac:dyDescent="0.2">
      <c r="A108" s="33">
        <v>101</v>
      </c>
      <c r="B108" s="59" t="str">
        <f ca="1">IFERROR(__xludf.DUMMYFUNCTION("""COMPUTED_VALUE"""),"Фатхуллин Шамиль Расимович")</f>
        <v>Фатхуллин Шамиль Расимович</v>
      </c>
      <c r="C108" s="56"/>
      <c r="D108" s="57" t="str">
        <f ca="1">IFERROR(__xludf.DUMMYFUNCTION("""COMPUTED_VALUE"""),"МОУ ""СОШ п. им. К. Маркса""")</f>
        <v>МОУ "СОШ п. им. К. Маркса"</v>
      </c>
      <c r="E108" s="34">
        <f ca="1">IFERROR(__xludf.DUMMYFUNCTION("""COMPUTED_VALUE"""),6)</f>
        <v>6</v>
      </c>
      <c r="F108" s="56" t="str">
        <f ca="1">IFERROR(__xludf.DUMMYFUNCTION("""COMPUTED_VALUE"""),"Постнова Ольга Вениаминовна")</f>
        <v>Постнова Ольга Вениаминовна</v>
      </c>
      <c r="G108" s="34">
        <f ca="1">IFERROR(__xludf.DUMMYFUNCTION("""COMPUTED_VALUE"""),3)</f>
        <v>3</v>
      </c>
      <c r="H108" s="34">
        <f ca="1">IFERROR(__xludf.DUMMYFUNCTION("""COMPUTED_VALUE"""),8)</f>
        <v>8</v>
      </c>
      <c r="I108" s="34">
        <f ca="1">IFERROR(__xludf.DUMMYFUNCTION("""COMPUTED_VALUE"""),6)</f>
        <v>6</v>
      </c>
      <c r="J108" s="34">
        <v>9</v>
      </c>
      <c r="K108" s="34"/>
      <c r="L108" s="34"/>
      <c r="M108" s="33">
        <f t="shared" ca="1" si="5"/>
        <v>26</v>
      </c>
      <c r="N108" s="33"/>
      <c r="O108" s="86">
        <f t="shared" ca="1" si="4"/>
        <v>26</v>
      </c>
      <c r="P108" s="33">
        <v>102</v>
      </c>
      <c r="Q108" s="50" t="s">
        <v>83</v>
      </c>
      <c r="R108" s="20"/>
      <c r="S108" s="20"/>
      <c r="T108" s="20"/>
    </row>
    <row r="109" spans="1:20" ht="12.75" x14ac:dyDescent="0.2">
      <c r="A109" s="33">
        <v>102</v>
      </c>
      <c r="B109" s="59" t="str">
        <f ca="1">IFERROR(__xludf.DUMMYFUNCTION("""COMPUTED_VALUE"""),"Ткаченко София Денисовна")</f>
        <v>Ткаченко София Денисовна</v>
      </c>
      <c r="C109" s="56"/>
      <c r="D109" s="57" t="str">
        <f ca="1">IFERROR(__xludf.DUMMYFUNCTION("""COMPUTED_VALUE"""),"МОУ ""СОШ с. Березовка""")</f>
        <v>МОУ "СОШ с. Березовка"</v>
      </c>
      <c r="E109" s="34">
        <f ca="1">IFERROR(__xludf.DUMMYFUNCTION("""COMPUTED_VALUE"""),6)</f>
        <v>6</v>
      </c>
      <c r="F109" s="56" t="str">
        <f ca="1">IFERROR(__xludf.DUMMYFUNCTION("""COMPUTED_VALUE"""),"Турсумбек Нагима Айгалиевна ")</f>
        <v xml:space="preserve">Турсумбек Нагима Айгалиевна </v>
      </c>
      <c r="G109" s="34">
        <f ca="1">IFERROR(__xludf.DUMMYFUNCTION("""COMPUTED_VALUE"""),6)</f>
        <v>6</v>
      </c>
      <c r="H109" s="34">
        <f ca="1">IFERROR(__xludf.DUMMYFUNCTION("""COMPUTED_VALUE"""),3)</f>
        <v>3</v>
      </c>
      <c r="I109" s="34">
        <f ca="1">IFERROR(__xludf.DUMMYFUNCTION("""COMPUTED_VALUE"""),4)</f>
        <v>4</v>
      </c>
      <c r="J109" s="34">
        <f ca="1">IFERROR(__xludf.DUMMYFUNCTION("""COMPUTED_VALUE"""),12)</f>
        <v>12</v>
      </c>
      <c r="K109" s="34"/>
      <c r="L109" s="34"/>
      <c r="M109" s="33">
        <f t="shared" ca="1" si="5"/>
        <v>25</v>
      </c>
      <c r="N109" s="43"/>
      <c r="O109" s="86">
        <f t="shared" ca="1" si="4"/>
        <v>25</v>
      </c>
      <c r="P109" s="86">
        <v>103</v>
      </c>
      <c r="Q109" s="50" t="s">
        <v>83</v>
      </c>
      <c r="R109" s="20"/>
      <c r="S109" s="20"/>
      <c r="T109" s="20"/>
    </row>
    <row r="110" spans="1:20" ht="12.75" x14ac:dyDescent="0.2">
      <c r="A110" s="33">
        <v>103</v>
      </c>
      <c r="B110" s="59" t="str">
        <f ca="1">IFERROR(__xludf.DUMMYFUNCTION("""COMPUTED_VALUE"""),"Хутиева Кристина Борисовна")</f>
        <v>Хутиева Кристина Борисовна</v>
      </c>
      <c r="C110" s="56"/>
      <c r="D110" s="57" t="str">
        <f ca="1">IFERROR(__xludf.DUMMYFUNCTION("""COMPUTED_VALUE"""),"МОУ ""СОШ с. Шумейка""")</f>
        <v>МОУ "СОШ с. Шумейка"</v>
      </c>
      <c r="E110" s="34">
        <f ca="1">IFERROR(__xludf.DUMMYFUNCTION("""COMPUTED_VALUE"""),6)</f>
        <v>6</v>
      </c>
      <c r="F110" s="56" t="str">
        <f ca="1">IFERROR(__xludf.DUMMYFUNCTION("""COMPUTED_VALUE"""),"Полякова Наталия Викторовна")</f>
        <v>Полякова Наталия Викторовна</v>
      </c>
      <c r="G110" s="34">
        <f ca="1">IFERROR(__xludf.DUMMYFUNCTION("""COMPUTED_VALUE"""),3)</f>
        <v>3</v>
      </c>
      <c r="H110" s="34">
        <f ca="1">IFERROR(__xludf.DUMMYFUNCTION("""COMPUTED_VALUE"""),8)</f>
        <v>8</v>
      </c>
      <c r="I110" s="34">
        <f ca="1">IFERROR(__xludf.DUMMYFUNCTION("""COMPUTED_VALUE"""),7)</f>
        <v>7</v>
      </c>
      <c r="J110" s="34">
        <v>7</v>
      </c>
      <c r="K110" s="34"/>
      <c r="L110" s="34"/>
      <c r="M110" s="33">
        <f t="shared" ca="1" si="5"/>
        <v>25</v>
      </c>
      <c r="N110" s="33"/>
      <c r="O110" s="86">
        <f t="shared" ca="1" si="4"/>
        <v>25</v>
      </c>
      <c r="P110" s="33">
        <v>104</v>
      </c>
      <c r="Q110" s="50" t="s">
        <v>83</v>
      </c>
      <c r="R110" s="20"/>
      <c r="S110" s="20"/>
      <c r="T110" s="20"/>
    </row>
    <row r="111" spans="1:20" ht="12.75" x14ac:dyDescent="0.2">
      <c r="A111" s="33">
        <v>104</v>
      </c>
      <c r="B111" s="59" t="str">
        <f ca="1">IFERROR(__xludf.DUMMYFUNCTION("""COMPUTED_VALUE"""),"Косицын Дмитрий Александрович")</f>
        <v>Косицын Дмитрий Александрович</v>
      </c>
      <c r="C111" s="56"/>
      <c r="D111" s="57" t="str">
        <f ca="1">IFERROR(__xludf.DUMMYFUNCTION("""COMPUTED_VALUE"""),"МОУ ""СОШ п. им. К. Маркса""")</f>
        <v>МОУ "СОШ п. им. К. Маркса"</v>
      </c>
      <c r="E111" s="34">
        <f ca="1">IFERROR(__xludf.DUMMYFUNCTION("""COMPUTED_VALUE"""),6)</f>
        <v>6</v>
      </c>
      <c r="F111" s="56" t="str">
        <f ca="1">IFERROR(__xludf.DUMMYFUNCTION("""COMPUTED_VALUE"""),"Постнова Ольга Вениаминовна")</f>
        <v>Постнова Ольга Вениаминовна</v>
      </c>
      <c r="G111" s="34">
        <f ca="1">IFERROR(__xludf.DUMMYFUNCTION("""COMPUTED_VALUE"""),6)</f>
        <v>6</v>
      </c>
      <c r="H111" s="34">
        <f ca="1">IFERROR(__xludf.DUMMYFUNCTION("""COMPUTED_VALUE"""),2)</f>
        <v>2</v>
      </c>
      <c r="I111" s="34">
        <f ca="1">IFERROR(__xludf.DUMMYFUNCTION("""COMPUTED_VALUE"""),7)</f>
        <v>7</v>
      </c>
      <c r="J111" s="34">
        <v>10</v>
      </c>
      <c r="K111" s="34"/>
      <c r="L111" s="34"/>
      <c r="M111" s="33">
        <f t="shared" ca="1" si="5"/>
        <v>25</v>
      </c>
      <c r="N111" s="33"/>
      <c r="O111" s="86">
        <f t="shared" ca="1" si="4"/>
        <v>25</v>
      </c>
      <c r="P111" s="86">
        <v>105</v>
      </c>
      <c r="Q111" s="50" t="s">
        <v>83</v>
      </c>
      <c r="R111" s="20"/>
      <c r="S111" s="20"/>
      <c r="T111" s="20"/>
    </row>
    <row r="112" spans="1:20" ht="12.75" x14ac:dyDescent="0.2">
      <c r="A112" s="33">
        <v>105</v>
      </c>
      <c r="B112" s="59" t="str">
        <f ca="1">IFERROR(__xludf.DUMMYFUNCTION("""COMPUTED_VALUE"""),"Пименова Ксения Ивановна")</f>
        <v>Пименова Ксения Ивановна</v>
      </c>
      <c r="C112" s="56"/>
      <c r="D112" s="57" t="str">
        <f ca="1">IFERROR(__xludf.DUMMYFUNCTION("""COMPUTED_VALUE"""),"МОУ ""СОШ п. им. К. Маркса""")</f>
        <v>МОУ "СОШ п. им. К. Маркса"</v>
      </c>
      <c r="E112" s="34">
        <f ca="1">IFERROR(__xludf.DUMMYFUNCTION("""COMPUTED_VALUE"""),6)</f>
        <v>6</v>
      </c>
      <c r="F112" s="56" t="str">
        <f ca="1">IFERROR(__xludf.DUMMYFUNCTION("""COMPUTED_VALUE"""),"Постнова Ольга Вениаминовна")</f>
        <v>Постнова Ольга Вениаминовна</v>
      </c>
      <c r="G112" s="34">
        <f ca="1">IFERROR(__xludf.DUMMYFUNCTION("""COMPUTED_VALUE"""),7)</f>
        <v>7</v>
      </c>
      <c r="H112" s="34">
        <f ca="1">IFERROR(__xludf.DUMMYFUNCTION("""COMPUTED_VALUE"""),0)</f>
        <v>0</v>
      </c>
      <c r="I112" s="34">
        <f ca="1">IFERROR(__xludf.DUMMYFUNCTION("""COMPUTED_VALUE"""),9)</f>
        <v>9</v>
      </c>
      <c r="J112" s="34">
        <v>9</v>
      </c>
      <c r="K112" s="34"/>
      <c r="L112" s="34"/>
      <c r="M112" s="33">
        <f t="shared" ca="1" si="5"/>
        <v>25</v>
      </c>
      <c r="N112" s="33"/>
      <c r="O112" s="86">
        <f t="shared" ca="1" si="4"/>
        <v>25</v>
      </c>
      <c r="P112" s="33">
        <v>106</v>
      </c>
      <c r="Q112" s="50" t="s">
        <v>83</v>
      </c>
      <c r="R112" s="20"/>
      <c r="S112" s="20"/>
      <c r="T112" s="20"/>
    </row>
    <row r="113" spans="1:20" ht="12.75" x14ac:dyDescent="0.2">
      <c r="A113" s="33">
        <v>106</v>
      </c>
      <c r="B113" s="59" t="str">
        <f ca="1">IFERROR(__xludf.DUMMYFUNCTION("""COMPUTED_VALUE"""),"Ильина Изабелла Григорьевна")</f>
        <v>Ильина Изабелла Григорьевна</v>
      </c>
      <c r="C113" s="56"/>
      <c r="D113" s="57" t="str">
        <f ca="1">IFERROR(__xludf.DUMMYFUNCTION("""COMPUTED_VALUE"""),"МОУ ""СОШ им. Ю.А. Гагарина """)</f>
        <v>МОУ "СОШ им. Ю.А. Гагарина "</v>
      </c>
      <c r="E113" s="34">
        <f ca="1">IFERROR(__xludf.DUMMYFUNCTION("""COMPUTED_VALUE"""),6)</f>
        <v>6</v>
      </c>
      <c r="F113" s="56" t="str">
        <f ca="1">IFERROR(__xludf.DUMMYFUNCTION("""COMPUTED_VALUE"""),"Мищенко Ирина Николаевна")</f>
        <v>Мищенко Ирина Николаевна</v>
      </c>
      <c r="G113" s="34">
        <f ca="1">IFERROR(__xludf.DUMMYFUNCTION("""COMPUTED_VALUE"""),3)</f>
        <v>3</v>
      </c>
      <c r="H113" s="34">
        <f ca="1">IFERROR(__xludf.DUMMYFUNCTION("""COMPUTED_VALUE"""),6)</f>
        <v>6</v>
      </c>
      <c r="I113" s="34">
        <f ca="1">IFERROR(__xludf.DUMMYFUNCTION("""COMPUTED_VALUE"""),4)</f>
        <v>4</v>
      </c>
      <c r="J113" s="34">
        <f ca="1">IFERROR(__xludf.DUMMYFUNCTION("""COMPUTED_VALUE"""),12)</f>
        <v>12</v>
      </c>
      <c r="K113" s="34"/>
      <c r="L113" s="34"/>
      <c r="M113" s="33">
        <f t="shared" ca="1" si="5"/>
        <v>25</v>
      </c>
      <c r="N113" s="43"/>
      <c r="O113" s="86">
        <f t="shared" ca="1" si="4"/>
        <v>25</v>
      </c>
      <c r="P113" s="86">
        <v>107</v>
      </c>
      <c r="Q113" s="50" t="s">
        <v>83</v>
      </c>
      <c r="R113" s="20"/>
      <c r="S113" s="20"/>
      <c r="T113" s="20"/>
    </row>
    <row r="114" spans="1:20" ht="12.75" x14ac:dyDescent="0.2">
      <c r="A114" s="33">
        <v>107</v>
      </c>
      <c r="B114" s="59" t="str">
        <f ca="1">IFERROR(__xludf.DUMMYFUNCTION("""COMPUTED_VALUE"""),"Ермолаев Константин Александрович")</f>
        <v>Ермолаев Константин Александрович</v>
      </c>
      <c r="C114" s="56"/>
      <c r="D114" s="57" t="str">
        <f ca="1">IFERROR(__xludf.DUMMYFUNCTION("""COMPUTED_VALUE"""),"МОУ ""СОШ №19""")</f>
        <v>МОУ "СОШ №19"</v>
      </c>
      <c r="E114" s="34">
        <f ca="1">IFERROR(__xludf.DUMMYFUNCTION("""COMPUTED_VALUE"""),6)</f>
        <v>6</v>
      </c>
      <c r="F114" s="56" t="str">
        <f ca="1">IFERROR(__xludf.DUMMYFUNCTION("""COMPUTED_VALUE"""),"Бахтина Татьяна Юрьевна")</f>
        <v>Бахтина Татьяна Юрьевна</v>
      </c>
      <c r="G114" s="34">
        <f ca="1">IFERROR(__xludf.DUMMYFUNCTION("""COMPUTED_VALUE"""),5)</f>
        <v>5</v>
      </c>
      <c r="H114" s="34">
        <f ca="1">IFERROR(__xludf.DUMMYFUNCTION("""COMPUTED_VALUE"""),6)</f>
        <v>6</v>
      </c>
      <c r="I114" s="34">
        <f ca="1">IFERROR(__xludf.DUMMYFUNCTION("""COMPUTED_VALUE"""),5)</f>
        <v>5</v>
      </c>
      <c r="J114" s="34">
        <v>9</v>
      </c>
      <c r="K114" s="34"/>
      <c r="L114" s="34"/>
      <c r="M114" s="33">
        <f t="shared" ca="1" si="5"/>
        <v>25</v>
      </c>
      <c r="N114" s="33"/>
      <c r="O114" s="86">
        <f t="shared" ca="1" si="4"/>
        <v>25</v>
      </c>
      <c r="P114" s="33">
        <v>108</v>
      </c>
      <c r="Q114" s="50" t="s">
        <v>83</v>
      </c>
      <c r="R114" s="20"/>
      <c r="S114" s="20"/>
      <c r="T114" s="20"/>
    </row>
    <row r="115" spans="1:20" ht="12.75" x14ac:dyDescent="0.2">
      <c r="A115" s="33">
        <v>108</v>
      </c>
      <c r="B115" s="59" t="str">
        <f ca="1">IFERROR(__xludf.DUMMYFUNCTION("""COMPUTED_VALUE"""),"Машкова София Павловна")</f>
        <v>Машкова София Павловна</v>
      </c>
      <c r="C115" s="56"/>
      <c r="D115" s="57" t="str">
        <f ca="1">IFERROR(__xludf.DUMMYFUNCTION("""COMPUTED_VALUE"""),"МОУ ""СОШ №19""")</f>
        <v>МОУ "СОШ №19"</v>
      </c>
      <c r="E115" s="34">
        <f ca="1">IFERROR(__xludf.DUMMYFUNCTION("""COMPUTED_VALUE"""),6)</f>
        <v>6</v>
      </c>
      <c r="F115" s="56" t="str">
        <f ca="1">IFERROR(__xludf.DUMMYFUNCTION("""COMPUTED_VALUE"""),"Бахтина Татьяна Юрьевна")</f>
        <v>Бахтина Татьяна Юрьевна</v>
      </c>
      <c r="G115" s="34">
        <f ca="1">IFERROR(__xludf.DUMMYFUNCTION("""COMPUTED_VALUE"""),4)</f>
        <v>4</v>
      </c>
      <c r="H115" s="34">
        <f ca="1">IFERROR(__xludf.DUMMYFUNCTION("""COMPUTED_VALUE"""),6)</f>
        <v>6</v>
      </c>
      <c r="I115" s="34">
        <f ca="1">IFERROR(__xludf.DUMMYFUNCTION("""COMPUTED_VALUE"""),5)</f>
        <v>5</v>
      </c>
      <c r="J115" s="34">
        <v>10</v>
      </c>
      <c r="K115" s="34"/>
      <c r="L115" s="34"/>
      <c r="M115" s="33">
        <f t="shared" ca="1" si="5"/>
        <v>25</v>
      </c>
      <c r="N115" s="33"/>
      <c r="O115" s="86">
        <f t="shared" ca="1" si="4"/>
        <v>25</v>
      </c>
      <c r="P115" s="86">
        <v>109</v>
      </c>
      <c r="Q115" s="50" t="s">
        <v>83</v>
      </c>
      <c r="R115" s="20"/>
      <c r="S115" s="20"/>
      <c r="T115" s="20"/>
    </row>
    <row r="116" spans="1:20" ht="12.75" x14ac:dyDescent="0.2">
      <c r="A116" s="33">
        <v>109</v>
      </c>
      <c r="B116" s="59" t="str">
        <f ca="1">IFERROR(__xludf.DUMMYFUNCTION("""COMPUTED_VALUE"""),"Коновалова Елена Дмитриевна")</f>
        <v>Коновалова Елена Дмитриевна</v>
      </c>
      <c r="C116" s="56"/>
      <c r="D116" s="57" t="str">
        <f ca="1">IFERROR(__xludf.DUMMYFUNCTION("""COMPUTED_VALUE"""),"МОУ ""СОШ №33""")</f>
        <v>МОУ "СОШ №33"</v>
      </c>
      <c r="E116" s="34">
        <f ca="1">IFERROR(__xludf.DUMMYFUNCTION("""COMPUTED_VALUE"""),6)</f>
        <v>6</v>
      </c>
      <c r="F116" s="56" t="str">
        <f ca="1">IFERROR(__xludf.DUMMYFUNCTION("""COMPUTED_VALUE"""),"Сибряева Надежда Васильевна")</f>
        <v>Сибряева Надежда Васильевна</v>
      </c>
      <c r="G116" s="34">
        <f ca="1">IFERROR(__xludf.DUMMYFUNCTION("""COMPUTED_VALUE"""),4)</f>
        <v>4</v>
      </c>
      <c r="H116" s="34">
        <f ca="1">IFERROR(__xludf.DUMMYFUNCTION("""COMPUTED_VALUE"""),10)</f>
        <v>10</v>
      </c>
      <c r="I116" s="34">
        <f ca="1">IFERROR(__xludf.DUMMYFUNCTION("""COMPUTED_VALUE"""),0)</f>
        <v>0</v>
      </c>
      <c r="J116" s="34">
        <f ca="1">IFERROR(__xludf.DUMMYFUNCTION("""COMPUTED_VALUE"""),11)</f>
        <v>11</v>
      </c>
      <c r="K116" s="34"/>
      <c r="L116" s="34"/>
      <c r="M116" s="33">
        <f t="shared" ca="1" si="5"/>
        <v>25</v>
      </c>
      <c r="N116" s="43"/>
      <c r="O116" s="86">
        <f t="shared" ca="1" si="4"/>
        <v>25</v>
      </c>
      <c r="P116" s="33">
        <v>110</v>
      </c>
      <c r="Q116" s="50" t="s">
        <v>83</v>
      </c>
      <c r="R116" s="20"/>
      <c r="S116" s="20"/>
      <c r="T116" s="20"/>
    </row>
    <row r="117" spans="1:20" ht="12.75" x14ac:dyDescent="0.2">
      <c r="A117" s="33">
        <v>110</v>
      </c>
      <c r="B117" s="59" t="str">
        <f ca="1">IFERROR(__xludf.DUMMYFUNCTION("""COMPUTED_VALUE"""),"Косицын Дмитрий Александрович")</f>
        <v>Косицын Дмитрий Александрович</v>
      </c>
      <c r="C117" s="56"/>
      <c r="D117" s="57" t="str">
        <f ca="1">IFERROR(__xludf.DUMMYFUNCTION("""COMPUTED_VALUE"""),"МОУ ""СОШ п. им. К. Маркса""")</f>
        <v>МОУ "СОШ п. им. К. Маркса"</v>
      </c>
      <c r="E117" s="34">
        <f ca="1">IFERROR(__xludf.DUMMYFUNCTION("""COMPUTED_VALUE"""),6)</f>
        <v>6</v>
      </c>
      <c r="F117" s="56" t="str">
        <f ca="1">IFERROR(__xludf.DUMMYFUNCTION("""COMPUTED_VALUE"""),"Постнова Ольга Вениаминовна")</f>
        <v>Постнова Ольга Вениаминовна</v>
      </c>
      <c r="G117" s="34">
        <f ca="1">IFERROR(__xludf.DUMMYFUNCTION("""COMPUTED_VALUE"""),6)</f>
        <v>6</v>
      </c>
      <c r="H117" s="34">
        <f ca="1">IFERROR(__xludf.DUMMYFUNCTION("""COMPUTED_VALUE"""),2)</f>
        <v>2</v>
      </c>
      <c r="I117" s="34">
        <f ca="1">IFERROR(__xludf.DUMMYFUNCTION("""COMPUTED_VALUE"""),7)</f>
        <v>7</v>
      </c>
      <c r="J117" s="34">
        <v>10</v>
      </c>
      <c r="K117" s="34"/>
      <c r="L117" s="34"/>
      <c r="M117" s="33">
        <f t="shared" ca="1" si="5"/>
        <v>25</v>
      </c>
      <c r="N117" s="33"/>
      <c r="O117" s="86">
        <f t="shared" ca="1" si="4"/>
        <v>25</v>
      </c>
      <c r="P117" s="86">
        <v>111</v>
      </c>
      <c r="Q117" s="50" t="s">
        <v>83</v>
      </c>
      <c r="R117" s="20"/>
      <c r="S117" s="20"/>
      <c r="T117" s="20"/>
    </row>
    <row r="118" spans="1:20" ht="12.75" x14ac:dyDescent="0.2">
      <c r="A118" s="33">
        <v>111</v>
      </c>
      <c r="B118" s="59" t="str">
        <f ca="1">IFERROR(__xludf.DUMMYFUNCTION("""COMPUTED_VALUE"""),"Пименова Ксения Ивановна")</f>
        <v>Пименова Ксения Ивановна</v>
      </c>
      <c r="C118" s="56"/>
      <c r="D118" s="57" t="str">
        <f ca="1">IFERROR(__xludf.DUMMYFUNCTION("""COMPUTED_VALUE"""),"МОУ ""СОШ п. им. К. Маркса""")</f>
        <v>МОУ "СОШ п. им. К. Маркса"</v>
      </c>
      <c r="E118" s="34">
        <f ca="1">IFERROR(__xludf.DUMMYFUNCTION("""COMPUTED_VALUE"""),6)</f>
        <v>6</v>
      </c>
      <c r="F118" s="56" t="str">
        <f ca="1">IFERROR(__xludf.DUMMYFUNCTION("""COMPUTED_VALUE"""),"Постнова Ольга Вениаминовна")</f>
        <v>Постнова Ольга Вениаминовна</v>
      </c>
      <c r="G118" s="34">
        <f ca="1">IFERROR(__xludf.DUMMYFUNCTION("""COMPUTED_VALUE"""),7)</f>
        <v>7</v>
      </c>
      <c r="H118" s="34">
        <f ca="1">IFERROR(__xludf.DUMMYFUNCTION("""COMPUTED_VALUE"""),0)</f>
        <v>0</v>
      </c>
      <c r="I118" s="34">
        <f ca="1">IFERROR(__xludf.DUMMYFUNCTION("""COMPUTED_VALUE"""),9)</f>
        <v>9</v>
      </c>
      <c r="J118" s="34">
        <v>9</v>
      </c>
      <c r="K118" s="34"/>
      <c r="L118" s="34"/>
      <c r="M118" s="33">
        <f t="shared" ca="1" si="5"/>
        <v>25</v>
      </c>
      <c r="N118" s="33"/>
      <c r="O118" s="86">
        <f t="shared" ca="1" si="4"/>
        <v>25</v>
      </c>
      <c r="P118" s="33">
        <v>112</v>
      </c>
      <c r="Q118" s="50" t="s">
        <v>83</v>
      </c>
      <c r="R118" s="20"/>
      <c r="S118" s="20"/>
      <c r="T118" s="20"/>
    </row>
    <row r="119" spans="1:20" ht="12.75" x14ac:dyDescent="0.2">
      <c r="A119" s="33">
        <v>112</v>
      </c>
      <c r="B119" s="55" t="str">
        <f ca="1">IFERROR(__xludf.DUMMYFUNCTION("IMPORTRANGE(""https://docs.google.com/spreadsheets/d/16CWr8ky6L0i1S4UOLMYHizeHS6aZnIDEnQPyRJyTpcI/edit#gid=0"", ""СОШ с. Березовка!B8:O12"")"),"Жулмуканова Диана Руслановна")</f>
        <v>Жулмуканова Диана Руслановна</v>
      </c>
      <c r="C119" s="56"/>
      <c r="D119" s="57" t="str">
        <f ca="1">IFERROR(__xludf.DUMMYFUNCTION("""COMPUTED_VALUE"""),"МОУ ""СОШ с. Березовка""")</f>
        <v>МОУ "СОШ с. Березовка"</v>
      </c>
      <c r="E119" s="34">
        <f ca="1">IFERROR(__xludf.DUMMYFUNCTION("""COMPUTED_VALUE"""),6)</f>
        <v>6</v>
      </c>
      <c r="F119" s="56" t="str">
        <f ca="1">IFERROR(__xludf.DUMMYFUNCTION("""COMPUTED_VALUE"""),"Турсумбек Нагима Айгалиевна")</f>
        <v>Турсумбек Нагима Айгалиевна</v>
      </c>
      <c r="G119" s="34">
        <f ca="1">IFERROR(__xludf.DUMMYFUNCTION("""COMPUTED_VALUE"""),3)</f>
        <v>3</v>
      </c>
      <c r="H119" s="34">
        <f ca="1">IFERROR(__xludf.DUMMYFUNCTION("""COMPUTED_VALUE"""),6)</f>
        <v>6</v>
      </c>
      <c r="I119" s="34">
        <f ca="1">IFERROR(__xludf.DUMMYFUNCTION("""COMPUTED_VALUE"""),5)</f>
        <v>5</v>
      </c>
      <c r="J119" s="34">
        <f ca="1">IFERROR(__xludf.DUMMYFUNCTION("""COMPUTED_VALUE"""),10)</f>
        <v>10</v>
      </c>
      <c r="K119" s="34"/>
      <c r="L119" s="34"/>
      <c r="M119" s="33">
        <f t="shared" ca="1" si="5"/>
        <v>24</v>
      </c>
      <c r="N119" s="43"/>
      <c r="O119" s="86">
        <f t="shared" ca="1" si="4"/>
        <v>24</v>
      </c>
      <c r="P119" s="86">
        <v>113</v>
      </c>
      <c r="Q119" s="50" t="s">
        <v>83</v>
      </c>
      <c r="R119" s="20"/>
      <c r="S119" s="20"/>
      <c r="T119" s="20"/>
    </row>
    <row r="120" spans="1:20" ht="12.75" x14ac:dyDescent="0.2">
      <c r="A120" s="33">
        <v>113</v>
      </c>
      <c r="B120" s="59" t="str">
        <f ca="1">IFERROR(__xludf.DUMMYFUNCTION("""COMPUTED_VALUE"""),"Мулдашев Дармен Ержанович")</f>
        <v>Мулдашев Дармен Ержанович</v>
      </c>
      <c r="C120" s="56"/>
      <c r="D120" s="57" t="str">
        <f ca="1">IFERROR(__xludf.DUMMYFUNCTION("""COMPUTED_VALUE"""),"МОУ ""СОШ п. им. К. Маркса""")</f>
        <v>МОУ "СОШ п. им. К. Маркса"</v>
      </c>
      <c r="E120" s="34">
        <f ca="1">IFERROR(__xludf.DUMMYFUNCTION("""COMPUTED_VALUE"""),6)</f>
        <v>6</v>
      </c>
      <c r="F120" s="56" t="str">
        <f ca="1">IFERROR(__xludf.DUMMYFUNCTION("""COMPUTED_VALUE"""),"Постнова Ольга Вениаминовна")</f>
        <v>Постнова Ольга Вениаминовна</v>
      </c>
      <c r="G120" s="34">
        <f ca="1">IFERROR(__xludf.DUMMYFUNCTION("""COMPUTED_VALUE"""),5)</f>
        <v>5</v>
      </c>
      <c r="H120" s="34">
        <f ca="1">IFERROR(__xludf.DUMMYFUNCTION("""COMPUTED_VALUE"""),8)</f>
        <v>8</v>
      </c>
      <c r="I120" s="34">
        <f ca="1">IFERROR(__xludf.DUMMYFUNCTION("""COMPUTED_VALUE"""),5)</f>
        <v>5</v>
      </c>
      <c r="J120" s="34">
        <v>6</v>
      </c>
      <c r="K120" s="34"/>
      <c r="L120" s="34"/>
      <c r="M120" s="33">
        <f t="shared" ca="1" si="5"/>
        <v>24</v>
      </c>
      <c r="N120" s="33"/>
      <c r="O120" s="86">
        <f t="shared" ca="1" si="4"/>
        <v>24</v>
      </c>
      <c r="P120" s="33">
        <v>114</v>
      </c>
      <c r="Q120" s="50" t="s">
        <v>83</v>
      </c>
      <c r="R120" s="20"/>
      <c r="S120" s="20"/>
      <c r="T120" s="20"/>
    </row>
    <row r="121" spans="1:20" ht="12.75" x14ac:dyDescent="0.2">
      <c r="A121" s="33">
        <v>114</v>
      </c>
      <c r="B121" s="59" t="str">
        <f ca="1">IFERROR(__xludf.DUMMYFUNCTION("""COMPUTED_VALUE"""),"Мулдашев Дармен Ержанович")</f>
        <v>Мулдашев Дармен Ержанович</v>
      </c>
      <c r="C121" s="56"/>
      <c r="D121" s="57" t="str">
        <f ca="1">IFERROR(__xludf.DUMMYFUNCTION("""COMPUTED_VALUE"""),"МОУ ""СОШ п. им. К. Маркса""")</f>
        <v>МОУ "СОШ п. им. К. Маркса"</v>
      </c>
      <c r="E121" s="34">
        <f ca="1">IFERROR(__xludf.DUMMYFUNCTION("""COMPUTED_VALUE"""),6)</f>
        <v>6</v>
      </c>
      <c r="F121" s="56" t="str">
        <f ca="1">IFERROR(__xludf.DUMMYFUNCTION("""COMPUTED_VALUE"""),"Постнова Ольга Вениаминовна")</f>
        <v>Постнова Ольга Вениаминовна</v>
      </c>
      <c r="G121" s="34">
        <f ca="1">IFERROR(__xludf.DUMMYFUNCTION("""COMPUTED_VALUE"""),5)</f>
        <v>5</v>
      </c>
      <c r="H121" s="34">
        <f ca="1">IFERROR(__xludf.DUMMYFUNCTION("""COMPUTED_VALUE"""),8)</f>
        <v>8</v>
      </c>
      <c r="I121" s="34">
        <f ca="1">IFERROR(__xludf.DUMMYFUNCTION("""COMPUTED_VALUE"""),5)</f>
        <v>5</v>
      </c>
      <c r="J121" s="34">
        <v>6</v>
      </c>
      <c r="K121" s="34"/>
      <c r="L121" s="34"/>
      <c r="M121" s="33">
        <f t="shared" ca="1" si="5"/>
        <v>24</v>
      </c>
      <c r="N121" s="33"/>
      <c r="O121" s="86">
        <f t="shared" ca="1" si="4"/>
        <v>24</v>
      </c>
      <c r="P121" s="86">
        <v>115</v>
      </c>
      <c r="Q121" s="50" t="s">
        <v>83</v>
      </c>
      <c r="R121" s="20"/>
      <c r="S121" s="20"/>
      <c r="T121" s="20"/>
    </row>
    <row r="122" spans="1:20" ht="12.75" x14ac:dyDescent="0.2">
      <c r="A122" s="33">
        <v>115</v>
      </c>
      <c r="B122" s="52" t="str">
        <f ca="1">IFERROR(__xludf.DUMMYFUNCTION("""COMPUTED_VALUE"""),"Бедда Василиса Станиславовна")</f>
        <v>Бедда Василиса Станиславовна</v>
      </c>
      <c r="C122" s="53"/>
      <c r="D122" s="54" t="str">
        <f ca="1">IFERROR(__xludf.DUMMYFUNCTION("""COMPUTED_VALUE"""),"МОУ ""МЭЛ им. Шнитке А.Г.""")</f>
        <v>МОУ "МЭЛ им. Шнитке А.Г."</v>
      </c>
      <c r="E122" s="33">
        <f ca="1">IFERROR(__xludf.DUMMYFUNCTION("""COMPUTED_VALUE"""),6)</f>
        <v>6</v>
      </c>
      <c r="F122" s="53" t="str">
        <f ca="1">IFERROR(__xludf.DUMMYFUNCTION("""COMPUTED_VALUE"""),"Мотавкина Светлана Сергеевна")</f>
        <v>Мотавкина Светлана Сергеевна</v>
      </c>
      <c r="G122" s="33">
        <f ca="1">IFERROR(__xludf.DUMMYFUNCTION("""COMPUTED_VALUE"""),6)</f>
        <v>6</v>
      </c>
      <c r="H122" s="33">
        <f ca="1">IFERROR(__xludf.DUMMYFUNCTION("""COMPUTED_VALUE"""),2)</f>
        <v>2</v>
      </c>
      <c r="I122" s="33">
        <f ca="1">IFERROR(__xludf.DUMMYFUNCTION("""COMPUTED_VALUE"""),5)</f>
        <v>5</v>
      </c>
      <c r="J122" s="33">
        <v>10</v>
      </c>
      <c r="K122" s="33"/>
      <c r="L122" s="33"/>
      <c r="M122" s="33">
        <f t="shared" ca="1" si="5"/>
        <v>23</v>
      </c>
      <c r="N122" s="33"/>
      <c r="O122" s="86">
        <f t="shared" ca="1" si="4"/>
        <v>23</v>
      </c>
      <c r="P122" s="33">
        <v>116</v>
      </c>
      <c r="Q122" s="50" t="s">
        <v>83</v>
      </c>
      <c r="R122" s="20"/>
      <c r="S122" s="20"/>
      <c r="T122" s="20"/>
    </row>
    <row r="123" spans="1:20" ht="12.75" x14ac:dyDescent="0.2">
      <c r="A123" s="33">
        <v>116</v>
      </c>
      <c r="B123" s="59" t="str">
        <f ca="1">IFERROR(__xludf.DUMMYFUNCTION("""COMPUTED_VALUE"""),"Базаров Антон Викторович")</f>
        <v>Базаров Антон Викторович</v>
      </c>
      <c r="C123" s="56"/>
      <c r="D123" s="57" t="str">
        <f ca="1">IFERROR(__xludf.DUMMYFUNCTION("""COMPUTED_VALUE"""),"МОУ ""СОШ п. Придорожный""")</f>
        <v>МОУ "СОШ п. Придорожный"</v>
      </c>
      <c r="E123" s="34">
        <f ca="1">IFERROR(__xludf.DUMMYFUNCTION("""COMPUTED_VALUE"""),6)</f>
        <v>6</v>
      </c>
      <c r="F123" s="56" t="str">
        <f ca="1">IFERROR(__xludf.DUMMYFUNCTION("""COMPUTED_VALUE"""),"Демешко Екатерина Валерьевна")</f>
        <v>Демешко Екатерина Валерьевна</v>
      </c>
      <c r="G123" s="34">
        <f ca="1">IFERROR(__xludf.DUMMYFUNCTION("""COMPUTED_VALUE"""),6)</f>
        <v>6</v>
      </c>
      <c r="H123" s="34">
        <f ca="1">IFERROR(__xludf.DUMMYFUNCTION("""COMPUTED_VALUE"""),3)</f>
        <v>3</v>
      </c>
      <c r="I123" s="34">
        <f ca="1">IFERROR(__xludf.DUMMYFUNCTION("""COMPUTED_VALUE"""),5)</f>
        <v>5</v>
      </c>
      <c r="J123" s="34">
        <v>9</v>
      </c>
      <c r="K123" s="34"/>
      <c r="L123" s="34"/>
      <c r="M123" s="33">
        <f t="shared" ca="1" si="5"/>
        <v>23</v>
      </c>
      <c r="N123" s="33"/>
      <c r="O123" s="86">
        <f t="shared" ca="1" si="4"/>
        <v>23</v>
      </c>
      <c r="P123" s="86">
        <v>117</v>
      </c>
      <c r="Q123" s="50" t="s">
        <v>83</v>
      </c>
      <c r="R123" s="20"/>
      <c r="S123" s="20"/>
      <c r="T123" s="20"/>
    </row>
    <row r="124" spans="1:20" ht="12.75" x14ac:dyDescent="0.2">
      <c r="A124" s="33">
        <v>117</v>
      </c>
      <c r="B124" s="59" t="str">
        <f ca="1">IFERROR(__xludf.DUMMYFUNCTION("""COMPUTED_VALUE"""),"Козлов Денис Александрович")</f>
        <v>Козлов Денис Александрович</v>
      </c>
      <c r="C124" s="56"/>
      <c r="D124" s="57" t="str">
        <f ca="1">IFERROR(__xludf.DUMMYFUNCTION("""COMPUTED_VALUE"""),"МОУ ""СОШ п. им. К. Маркса""")</f>
        <v>МОУ "СОШ п. им. К. Маркса"</v>
      </c>
      <c r="E124" s="34">
        <f ca="1">IFERROR(__xludf.DUMMYFUNCTION("""COMPUTED_VALUE"""),6)</f>
        <v>6</v>
      </c>
      <c r="F124" s="56" t="str">
        <f ca="1">IFERROR(__xludf.DUMMYFUNCTION("""COMPUTED_VALUE"""),"Постнова Ольга Вениаминовна")</f>
        <v>Постнова Ольга Вениаминовна</v>
      </c>
      <c r="G124" s="34">
        <f ca="1">IFERROR(__xludf.DUMMYFUNCTION("""COMPUTED_VALUE"""),7)</f>
        <v>7</v>
      </c>
      <c r="H124" s="34">
        <f ca="1">IFERROR(__xludf.DUMMYFUNCTION("""COMPUTED_VALUE"""),0)</f>
        <v>0</v>
      </c>
      <c r="I124" s="34">
        <f ca="1">IFERROR(__xludf.DUMMYFUNCTION("""COMPUTED_VALUE"""),8)</f>
        <v>8</v>
      </c>
      <c r="J124" s="34">
        <v>8</v>
      </c>
      <c r="K124" s="34"/>
      <c r="L124" s="34"/>
      <c r="M124" s="33">
        <f t="shared" ca="1" si="5"/>
        <v>23</v>
      </c>
      <c r="N124" s="33"/>
      <c r="O124" s="86">
        <f t="shared" ca="1" si="4"/>
        <v>23</v>
      </c>
      <c r="P124" s="33">
        <v>118</v>
      </c>
      <c r="Q124" s="50" t="s">
        <v>83</v>
      </c>
      <c r="R124" s="20"/>
      <c r="S124" s="20"/>
      <c r="T124" s="20"/>
    </row>
    <row r="125" spans="1:20" ht="12.75" x14ac:dyDescent="0.2">
      <c r="A125" s="33">
        <v>118</v>
      </c>
      <c r="B125" s="59" t="str">
        <f ca="1">IFERROR(__xludf.DUMMYFUNCTION("""COMPUTED_VALUE"""),"Ларцова Анфиса Андреевна")</f>
        <v>Ларцова Анфиса Андреевна</v>
      </c>
      <c r="C125" s="56"/>
      <c r="D125" s="57" t="str">
        <f ca="1">IFERROR(__xludf.DUMMYFUNCTION("""COMPUTED_VALUE"""),"МОУ ""СОШ п. им. К. Маркса""")</f>
        <v>МОУ "СОШ п. им. К. Маркса"</v>
      </c>
      <c r="E125" s="34">
        <f ca="1">IFERROR(__xludf.DUMMYFUNCTION("""COMPUTED_VALUE"""),6)</f>
        <v>6</v>
      </c>
      <c r="F125" s="56" t="str">
        <f ca="1">IFERROR(__xludf.DUMMYFUNCTION("""COMPUTED_VALUE"""),"Постнова Ольга Вениаминовна")</f>
        <v>Постнова Ольга Вениаминовна</v>
      </c>
      <c r="G125" s="34">
        <f ca="1">IFERROR(__xludf.DUMMYFUNCTION("""COMPUTED_VALUE"""),4)</f>
        <v>4</v>
      </c>
      <c r="H125" s="34">
        <f ca="1">IFERROR(__xludf.DUMMYFUNCTION("""COMPUTED_VALUE"""),8)</f>
        <v>8</v>
      </c>
      <c r="I125" s="34">
        <f ca="1">IFERROR(__xludf.DUMMYFUNCTION("""COMPUTED_VALUE"""),5)</f>
        <v>5</v>
      </c>
      <c r="J125" s="34">
        <v>6</v>
      </c>
      <c r="K125" s="34"/>
      <c r="L125" s="34"/>
      <c r="M125" s="33">
        <f t="shared" ca="1" si="5"/>
        <v>23</v>
      </c>
      <c r="N125" s="33"/>
      <c r="O125" s="86">
        <f t="shared" ca="1" si="4"/>
        <v>23</v>
      </c>
      <c r="P125" s="86">
        <v>119</v>
      </c>
      <c r="Q125" s="50" t="s">
        <v>83</v>
      </c>
      <c r="R125" s="20"/>
      <c r="S125" s="20"/>
      <c r="T125" s="20"/>
    </row>
    <row r="126" spans="1:20" ht="12.75" x14ac:dyDescent="0.2">
      <c r="A126" s="33">
        <v>119</v>
      </c>
      <c r="B126" s="59" t="str">
        <f ca="1">IFERROR(__xludf.DUMMYFUNCTION("""COMPUTED_VALUE"""),"Мухамбетова Нейля Наримановна")</f>
        <v>Мухамбетова Нейля Наримановна</v>
      </c>
      <c r="C126" s="56"/>
      <c r="D126" s="57" t="str">
        <f ca="1">IFERROR(__xludf.DUMMYFUNCTION("""COMPUTED_VALUE"""),"МОУ ""СОШ п. им. К. Маркса""")</f>
        <v>МОУ "СОШ п. им. К. Маркса"</v>
      </c>
      <c r="E126" s="34">
        <f ca="1">IFERROR(__xludf.DUMMYFUNCTION("""COMPUTED_VALUE"""),6)</f>
        <v>6</v>
      </c>
      <c r="F126" s="56" t="str">
        <f ca="1">IFERROR(__xludf.DUMMYFUNCTION("""COMPUTED_VALUE"""),"Постнова Ольга Вениаминовна")</f>
        <v>Постнова Ольга Вениаминовна</v>
      </c>
      <c r="G126" s="34">
        <f ca="1">IFERROR(__xludf.DUMMYFUNCTION("""COMPUTED_VALUE"""),4)</f>
        <v>4</v>
      </c>
      <c r="H126" s="34">
        <f ca="1">IFERROR(__xludf.DUMMYFUNCTION("""COMPUTED_VALUE"""),0)</f>
        <v>0</v>
      </c>
      <c r="I126" s="34">
        <f ca="1">IFERROR(__xludf.DUMMYFUNCTION("""COMPUTED_VALUE"""),5)</f>
        <v>5</v>
      </c>
      <c r="J126" s="34">
        <v>14</v>
      </c>
      <c r="K126" s="34"/>
      <c r="L126" s="34"/>
      <c r="M126" s="33">
        <f t="shared" ca="1" si="5"/>
        <v>23</v>
      </c>
      <c r="N126" s="33"/>
      <c r="O126" s="86">
        <f t="shared" ca="1" si="4"/>
        <v>23</v>
      </c>
      <c r="P126" s="33">
        <v>120</v>
      </c>
      <c r="Q126" s="50" t="s">
        <v>83</v>
      </c>
      <c r="R126" s="20"/>
      <c r="S126" s="20"/>
      <c r="T126" s="20"/>
    </row>
    <row r="127" spans="1:20" ht="12.75" x14ac:dyDescent="0.2">
      <c r="A127" s="33">
        <v>120</v>
      </c>
      <c r="B127" s="59" t="str">
        <f ca="1">IFERROR(__xludf.DUMMYFUNCTION("""COMPUTED_VALUE"""),"Амнинов Мерген Саналович")</f>
        <v>Амнинов Мерген Саналович</v>
      </c>
      <c r="C127" s="56"/>
      <c r="D127" s="57" t="str">
        <f ca="1">IFERROR(__xludf.DUMMYFUNCTION("""COMPUTED_VALUE"""),"МОУ ""СОШ п. им. К. Маркса""")</f>
        <v>МОУ "СОШ п. им. К. Маркса"</v>
      </c>
      <c r="E127" s="34">
        <f ca="1">IFERROR(__xludf.DUMMYFUNCTION("""COMPUTED_VALUE"""),6)</f>
        <v>6</v>
      </c>
      <c r="F127" s="56" t="str">
        <f ca="1">IFERROR(__xludf.DUMMYFUNCTION("""COMPUTED_VALUE"""),"Постнова Ольга Вениаминовна")</f>
        <v>Постнова Ольга Вениаминовна</v>
      </c>
      <c r="G127" s="34">
        <f ca="1">IFERROR(__xludf.DUMMYFUNCTION("""COMPUTED_VALUE"""),5)</f>
        <v>5</v>
      </c>
      <c r="H127" s="34">
        <f ca="1">IFERROR(__xludf.DUMMYFUNCTION("""COMPUTED_VALUE"""),0)</f>
        <v>0</v>
      </c>
      <c r="I127" s="34">
        <f ca="1">IFERROR(__xludf.DUMMYFUNCTION("""COMPUTED_VALUE"""),8)</f>
        <v>8</v>
      </c>
      <c r="J127" s="34">
        <v>10</v>
      </c>
      <c r="K127" s="34"/>
      <c r="L127" s="34"/>
      <c r="M127" s="33">
        <f t="shared" ca="1" si="5"/>
        <v>23</v>
      </c>
      <c r="N127" s="33"/>
      <c r="O127" s="86">
        <f t="shared" ca="1" si="4"/>
        <v>23</v>
      </c>
      <c r="P127" s="86">
        <v>121</v>
      </c>
      <c r="Q127" s="50" t="s">
        <v>83</v>
      </c>
      <c r="R127" s="20"/>
      <c r="S127" s="20"/>
      <c r="T127" s="20"/>
    </row>
    <row r="128" spans="1:20" ht="12.75" x14ac:dyDescent="0.2">
      <c r="A128" s="33">
        <v>121</v>
      </c>
      <c r="B128" s="59" t="str">
        <f ca="1">IFERROR(__xludf.DUMMYFUNCTION("""COMPUTED_VALUE"""),"Володькина Валерия Ивановна")</f>
        <v>Володькина Валерия Ивановна</v>
      </c>
      <c r="C128" s="56"/>
      <c r="D128" s="57" t="str">
        <f ca="1">IFERROR(__xludf.DUMMYFUNCTION("""COMPUTED_VALUE"""),"МОУ ""СОШ п. им. К. Маркса""")</f>
        <v>МОУ "СОШ п. им. К. Маркса"</v>
      </c>
      <c r="E128" s="34">
        <f ca="1">IFERROR(__xludf.DUMMYFUNCTION("""COMPUTED_VALUE"""),6)</f>
        <v>6</v>
      </c>
      <c r="F128" s="56" t="str">
        <f ca="1">IFERROR(__xludf.DUMMYFUNCTION("""COMPUTED_VALUE"""),"Постнова Ольга Вениаминовна")</f>
        <v>Постнова Ольга Вениаминовна</v>
      </c>
      <c r="G128" s="34">
        <f ca="1">IFERROR(__xludf.DUMMYFUNCTION("""COMPUTED_VALUE"""),6)</f>
        <v>6</v>
      </c>
      <c r="H128" s="34">
        <f ca="1">IFERROR(__xludf.DUMMYFUNCTION("""COMPUTED_VALUE"""),2)</f>
        <v>2</v>
      </c>
      <c r="I128" s="34">
        <f ca="1">IFERROR(__xludf.DUMMYFUNCTION("""COMPUTED_VALUE"""),3)</f>
        <v>3</v>
      </c>
      <c r="J128" s="34">
        <v>12</v>
      </c>
      <c r="K128" s="34"/>
      <c r="L128" s="34"/>
      <c r="M128" s="33">
        <f t="shared" ca="1" si="5"/>
        <v>23</v>
      </c>
      <c r="N128" s="33"/>
      <c r="O128" s="86">
        <f t="shared" ca="1" si="4"/>
        <v>23</v>
      </c>
      <c r="P128" s="33">
        <v>122</v>
      </c>
      <c r="Q128" s="50" t="s">
        <v>83</v>
      </c>
      <c r="R128" s="20"/>
      <c r="S128" s="20"/>
      <c r="T128" s="20"/>
    </row>
    <row r="129" spans="1:20" ht="12.75" x14ac:dyDescent="0.2">
      <c r="A129" s="33">
        <v>122</v>
      </c>
      <c r="B129" s="59" t="str">
        <f ca="1">IFERROR(__xludf.DUMMYFUNCTION("""COMPUTED_VALUE"""),"Ильясова Лилия Ренатовна")</f>
        <v>Ильясова Лилия Ренатовна</v>
      </c>
      <c r="C129" s="56"/>
      <c r="D129" s="57" t="str">
        <f ca="1">IFERROR(__xludf.DUMMYFUNCTION("""COMPUTED_VALUE"""),"МОУ ""СОШ п. им. К. Маркса""")</f>
        <v>МОУ "СОШ п. им. К. Маркса"</v>
      </c>
      <c r="E129" s="34">
        <f ca="1">IFERROR(__xludf.DUMMYFUNCTION("""COMPUTED_VALUE"""),6)</f>
        <v>6</v>
      </c>
      <c r="F129" s="56" t="str">
        <f ca="1">IFERROR(__xludf.DUMMYFUNCTION("""COMPUTED_VALUE"""),"Постнова Ольга Вениаминовна")</f>
        <v>Постнова Ольга Вениаминовна</v>
      </c>
      <c r="G129" s="34">
        <f ca="1">IFERROR(__xludf.DUMMYFUNCTION("""COMPUTED_VALUE"""),5)</f>
        <v>5</v>
      </c>
      <c r="H129" s="34">
        <f ca="1">IFERROR(__xludf.DUMMYFUNCTION("""COMPUTED_VALUE"""),2)</f>
        <v>2</v>
      </c>
      <c r="I129" s="34">
        <f ca="1">IFERROR(__xludf.DUMMYFUNCTION("""COMPUTED_VALUE"""),7)</f>
        <v>7</v>
      </c>
      <c r="J129" s="34">
        <v>9</v>
      </c>
      <c r="K129" s="34"/>
      <c r="L129" s="34"/>
      <c r="M129" s="33">
        <f t="shared" ca="1" si="5"/>
        <v>23</v>
      </c>
      <c r="N129" s="33"/>
      <c r="O129" s="86">
        <f t="shared" ca="1" si="4"/>
        <v>23</v>
      </c>
      <c r="P129" s="86">
        <v>123</v>
      </c>
      <c r="Q129" s="50" t="s">
        <v>83</v>
      </c>
      <c r="R129" s="20"/>
      <c r="S129" s="20"/>
      <c r="T129" s="20"/>
    </row>
    <row r="130" spans="1:20" ht="12.75" x14ac:dyDescent="0.2">
      <c r="A130" s="33">
        <v>123</v>
      </c>
      <c r="B130" s="59" t="str">
        <f ca="1">IFERROR(__xludf.DUMMYFUNCTION("""COMPUTED_VALUE"""),"Козлов Денис Александрович")</f>
        <v>Козлов Денис Александрович</v>
      </c>
      <c r="C130" s="56"/>
      <c r="D130" s="57" t="str">
        <f ca="1">IFERROR(__xludf.DUMMYFUNCTION("""COMPUTED_VALUE"""),"МОУ ""СОШ п. им. К. Маркса""")</f>
        <v>МОУ "СОШ п. им. К. Маркса"</v>
      </c>
      <c r="E130" s="34">
        <f ca="1">IFERROR(__xludf.DUMMYFUNCTION("""COMPUTED_VALUE"""),6)</f>
        <v>6</v>
      </c>
      <c r="F130" s="56" t="str">
        <f ca="1">IFERROR(__xludf.DUMMYFUNCTION("""COMPUTED_VALUE"""),"Постнова Ольга Вениаминовна")</f>
        <v>Постнова Ольга Вениаминовна</v>
      </c>
      <c r="G130" s="34">
        <f ca="1">IFERROR(__xludf.DUMMYFUNCTION("""COMPUTED_VALUE"""),7)</f>
        <v>7</v>
      </c>
      <c r="H130" s="34">
        <f ca="1">IFERROR(__xludf.DUMMYFUNCTION("""COMPUTED_VALUE"""),0)</f>
        <v>0</v>
      </c>
      <c r="I130" s="34">
        <f ca="1">IFERROR(__xludf.DUMMYFUNCTION("""COMPUTED_VALUE"""),8)</f>
        <v>8</v>
      </c>
      <c r="J130" s="34">
        <v>8</v>
      </c>
      <c r="K130" s="34"/>
      <c r="L130" s="34"/>
      <c r="M130" s="33">
        <f t="shared" ca="1" si="5"/>
        <v>23</v>
      </c>
      <c r="N130" s="33"/>
      <c r="O130" s="86">
        <f t="shared" ca="1" si="4"/>
        <v>23</v>
      </c>
      <c r="P130" s="33">
        <v>124</v>
      </c>
      <c r="Q130" s="50" t="s">
        <v>83</v>
      </c>
      <c r="R130" s="20"/>
      <c r="S130" s="20"/>
      <c r="T130" s="20"/>
    </row>
    <row r="131" spans="1:20" ht="12.75" x14ac:dyDescent="0.2">
      <c r="A131" s="33">
        <v>124</v>
      </c>
      <c r="B131" s="59" t="str">
        <f ca="1">IFERROR(__xludf.DUMMYFUNCTION("""COMPUTED_VALUE"""),"Ларцова Анфиса Андреевна")</f>
        <v>Ларцова Анфиса Андреевна</v>
      </c>
      <c r="C131" s="56"/>
      <c r="D131" s="57" t="str">
        <f ca="1">IFERROR(__xludf.DUMMYFUNCTION("""COMPUTED_VALUE"""),"МОУ ""СОШ п. им. К. Маркса""")</f>
        <v>МОУ "СОШ п. им. К. Маркса"</v>
      </c>
      <c r="E131" s="34">
        <f ca="1">IFERROR(__xludf.DUMMYFUNCTION("""COMPUTED_VALUE"""),6)</f>
        <v>6</v>
      </c>
      <c r="F131" s="56" t="str">
        <f ca="1">IFERROR(__xludf.DUMMYFUNCTION("""COMPUTED_VALUE"""),"Постнова Ольга Вениаминовна")</f>
        <v>Постнова Ольга Вениаминовна</v>
      </c>
      <c r="G131" s="34">
        <f ca="1">IFERROR(__xludf.DUMMYFUNCTION("""COMPUTED_VALUE"""),4)</f>
        <v>4</v>
      </c>
      <c r="H131" s="34">
        <f ca="1">IFERROR(__xludf.DUMMYFUNCTION("""COMPUTED_VALUE"""),8)</f>
        <v>8</v>
      </c>
      <c r="I131" s="34">
        <f ca="1">IFERROR(__xludf.DUMMYFUNCTION("""COMPUTED_VALUE"""),5)</f>
        <v>5</v>
      </c>
      <c r="J131" s="34">
        <v>6</v>
      </c>
      <c r="K131" s="34"/>
      <c r="L131" s="34"/>
      <c r="M131" s="33">
        <f t="shared" ca="1" si="5"/>
        <v>23</v>
      </c>
      <c r="N131" s="33"/>
      <c r="O131" s="86">
        <f t="shared" ca="1" si="4"/>
        <v>23</v>
      </c>
      <c r="P131" s="86">
        <v>125</v>
      </c>
      <c r="Q131" s="50" t="s">
        <v>83</v>
      </c>
      <c r="R131" s="20"/>
      <c r="S131" s="20"/>
      <c r="T131" s="20"/>
    </row>
    <row r="132" spans="1:20" ht="12.75" x14ac:dyDescent="0.2">
      <c r="A132" s="33">
        <v>125</v>
      </c>
      <c r="B132" s="60" t="str">
        <f ca="1">IFERROR(__xludf.DUMMYFUNCTION("""COMPUTED_VALUE"""),"Мухамбетова Нейля Наримановна")</f>
        <v>Мухамбетова Нейля Наримановна</v>
      </c>
      <c r="C132" s="56"/>
      <c r="D132" s="57" t="str">
        <f ca="1">IFERROR(__xludf.DUMMYFUNCTION("""COMPUTED_VALUE"""),"МОУ ""СОШ п. им. К. Маркса""")</f>
        <v>МОУ "СОШ п. им. К. Маркса"</v>
      </c>
      <c r="E132" s="34">
        <f ca="1">IFERROR(__xludf.DUMMYFUNCTION("""COMPUTED_VALUE"""),6)</f>
        <v>6</v>
      </c>
      <c r="F132" s="56" t="str">
        <f ca="1">IFERROR(__xludf.DUMMYFUNCTION("""COMPUTED_VALUE"""),"Постнова Ольга Вениаминовна")</f>
        <v>Постнова Ольга Вениаминовна</v>
      </c>
      <c r="G132" s="34">
        <f ca="1">IFERROR(__xludf.DUMMYFUNCTION("""COMPUTED_VALUE"""),4)</f>
        <v>4</v>
      </c>
      <c r="H132" s="34">
        <f ca="1">IFERROR(__xludf.DUMMYFUNCTION("""COMPUTED_VALUE"""),0)</f>
        <v>0</v>
      </c>
      <c r="I132" s="34">
        <f ca="1">IFERROR(__xludf.DUMMYFUNCTION("""COMPUTED_VALUE"""),5)</f>
        <v>5</v>
      </c>
      <c r="J132" s="34">
        <v>14</v>
      </c>
      <c r="K132" s="34"/>
      <c r="L132" s="34"/>
      <c r="M132" s="33">
        <f t="shared" ca="1" si="5"/>
        <v>23</v>
      </c>
      <c r="N132" s="33"/>
      <c r="O132" s="86">
        <f t="shared" ca="1" si="4"/>
        <v>23</v>
      </c>
      <c r="P132" s="33">
        <v>126</v>
      </c>
      <c r="Q132" s="50" t="s">
        <v>83</v>
      </c>
      <c r="R132" s="20"/>
      <c r="S132" s="20"/>
      <c r="T132" s="20"/>
    </row>
    <row r="133" spans="1:20" ht="12.75" x14ac:dyDescent="0.2">
      <c r="A133" s="33">
        <v>126</v>
      </c>
      <c r="B133" s="55" t="str">
        <f ca="1">IFERROR(__xludf.DUMMYFUNCTION("IMPORTRANGE(""https://docs.google.com/spreadsheets/d/16CWr8ky6L0i1S4UOLMYHizeHS6aZnIDEnQPyRJyTpcI/edit#gid=0"", ""СОШ п. им. К.Маркса!B18:O33"")"),"Потапов Артём Александрович")</f>
        <v>Потапов Артём Александрович</v>
      </c>
      <c r="C133" s="56"/>
      <c r="D133" s="57" t="str">
        <f ca="1">IFERROR(__xludf.DUMMYFUNCTION("""COMPUTED_VALUE"""),"МОУ ""СОШ п. им. К. Маркса""")</f>
        <v>МОУ "СОШ п. им. К. Маркса"</v>
      </c>
      <c r="E133" s="34">
        <f ca="1">IFERROR(__xludf.DUMMYFUNCTION("""COMPUTED_VALUE"""),6)</f>
        <v>6</v>
      </c>
      <c r="F133" s="56" t="str">
        <f ca="1">IFERROR(__xludf.DUMMYFUNCTION("""COMPUTED_VALUE"""),"Постнова Ольга Вениаминовна")</f>
        <v>Постнова Ольга Вениаминовна</v>
      </c>
      <c r="G133" s="34">
        <f ca="1">IFERROR(__xludf.DUMMYFUNCTION("""COMPUTED_VALUE"""),5)</f>
        <v>5</v>
      </c>
      <c r="H133" s="34">
        <f ca="1">IFERROR(__xludf.DUMMYFUNCTION("""COMPUTED_VALUE"""),2)</f>
        <v>2</v>
      </c>
      <c r="I133" s="34">
        <f ca="1">IFERROR(__xludf.DUMMYFUNCTION("""COMPUTED_VALUE"""),4)</f>
        <v>4</v>
      </c>
      <c r="J133" s="34">
        <v>11</v>
      </c>
      <c r="K133" s="34"/>
      <c r="L133" s="34"/>
      <c r="M133" s="33">
        <f t="shared" ca="1" si="5"/>
        <v>22</v>
      </c>
      <c r="N133" s="33"/>
      <c r="O133" s="86">
        <f t="shared" ca="1" si="4"/>
        <v>22</v>
      </c>
      <c r="P133" s="86">
        <v>127</v>
      </c>
      <c r="Q133" s="50" t="s">
        <v>88</v>
      </c>
      <c r="R133" s="20"/>
      <c r="S133" s="20"/>
      <c r="T133" s="20"/>
    </row>
    <row r="134" spans="1:20" ht="12.75" x14ac:dyDescent="0.2">
      <c r="A134" s="33">
        <v>127</v>
      </c>
      <c r="B134" s="59" t="str">
        <f ca="1">IFERROR(__xludf.DUMMYFUNCTION("""COMPUTED_VALUE"""),"Яровая Любовь Валерьевна")</f>
        <v>Яровая Любовь Валерьевна</v>
      </c>
      <c r="C134" s="56"/>
      <c r="D134" s="57" t="str">
        <f ca="1">IFERROR(__xludf.DUMMYFUNCTION("""COMPUTED_VALUE"""),"МОУ ""СОШ п. им. К. Маркса""")</f>
        <v>МОУ "СОШ п. им. К. Маркса"</v>
      </c>
      <c r="E134" s="34">
        <f ca="1">IFERROR(__xludf.DUMMYFUNCTION("""COMPUTED_VALUE"""),6)</f>
        <v>6</v>
      </c>
      <c r="F134" s="56" t="str">
        <f ca="1">IFERROR(__xludf.DUMMYFUNCTION("""COMPUTED_VALUE"""),"Постнова Ольга Вениаминовна")</f>
        <v>Постнова Ольга Вениаминовна</v>
      </c>
      <c r="G134" s="34">
        <f ca="1">IFERROR(__xludf.DUMMYFUNCTION("""COMPUTED_VALUE"""),5)</f>
        <v>5</v>
      </c>
      <c r="H134" s="34">
        <f ca="1">IFERROR(__xludf.DUMMYFUNCTION("""COMPUTED_VALUE"""),4)</f>
        <v>4</v>
      </c>
      <c r="I134" s="34">
        <f ca="1">IFERROR(__xludf.DUMMYFUNCTION("""COMPUTED_VALUE"""),5)</f>
        <v>5</v>
      </c>
      <c r="J134" s="34">
        <v>8</v>
      </c>
      <c r="K134" s="34"/>
      <c r="L134" s="34"/>
      <c r="M134" s="33">
        <f t="shared" ca="1" si="5"/>
        <v>22</v>
      </c>
      <c r="N134" s="33"/>
      <c r="O134" s="86">
        <f t="shared" ca="1" si="4"/>
        <v>22</v>
      </c>
      <c r="P134" s="33">
        <v>128</v>
      </c>
      <c r="Q134" s="50" t="s">
        <v>88</v>
      </c>
      <c r="R134" s="20"/>
      <c r="S134" s="20"/>
      <c r="T134" s="20"/>
    </row>
    <row r="135" spans="1:20" ht="12.75" x14ac:dyDescent="0.2">
      <c r="A135" s="33">
        <v>128</v>
      </c>
      <c r="B135" s="59" t="str">
        <f ca="1">IFERROR(__xludf.DUMMYFUNCTION("""COMPUTED_VALUE"""),"Стенькин Никита Алексеевич")</f>
        <v>Стенькин Никита Алексеевич</v>
      </c>
      <c r="C135" s="56"/>
      <c r="D135" s="57" t="str">
        <f ca="1">IFERROR(__xludf.DUMMYFUNCTION("""COMPUTED_VALUE"""),"МОУ ""СОШ №19""")</f>
        <v>МОУ "СОШ №19"</v>
      </c>
      <c r="E135" s="34">
        <f ca="1">IFERROR(__xludf.DUMMYFUNCTION("""COMPUTED_VALUE"""),6)</f>
        <v>6</v>
      </c>
      <c r="F135" s="56" t="str">
        <f ca="1">IFERROR(__xludf.DUMMYFUNCTION("""COMPUTED_VALUE"""),"Бахтина Татьяна Юрьевна")</f>
        <v>Бахтина Татьяна Юрьевна</v>
      </c>
      <c r="G135" s="34">
        <f ca="1">IFERROR(__xludf.DUMMYFUNCTION("""COMPUTED_VALUE"""),6)</f>
        <v>6</v>
      </c>
      <c r="H135" s="34">
        <f ca="1">IFERROR(__xludf.DUMMYFUNCTION("""COMPUTED_VALUE"""),8)</f>
        <v>8</v>
      </c>
      <c r="I135" s="34">
        <f ca="1">IFERROR(__xludf.DUMMYFUNCTION("""COMPUTED_VALUE"""),0)</f>
        <v>0</v>
      </c>
      <c r="J135" s="34">
        <v>8</v>
      </c>
      <c r="K135" s="34"/>
      <c r="L135" s="34"/>
      <c r="M135" s="33">
        <f t="shared" ref="M135:M144" ca="1" si="6">SUM(G135:J135)</f>
        <v>22</v>
      </c>
      <c r="N135" s="33"/>
      <c r="O135" s="86">
        <f t="shared" ca="1" si="4"/>
        <v>22</v>
      </c>
      <c r="P135" s="86">
        <v>129</v>
      </c>
      <c r="Q135" s="50" t="s">
        <v>88</v>
      </c>
      <c r="R135" s="20"/>
      <c r="S135" s="20"/>
      <c r="T135" s="20"/>
    </row>
    <row r="136" spans="1:20" ht="12.75" x14ac:dyDescent="0.2">
      <c r="A136" s="33">
        <v>129</v>
      </c>
      <c r="B136" s="55" t="str">
        <f ca="1">IFERROR(__xludf.DUMMYFUNCTION("IMPORTRANGE(""https://docs.google.com/spreadsheets/d/16CWr8ky6L0i1S4UOLMYHizeHS6aZnIDEnQPyRJyTpcI/edit#gid=0"", ""СОШ п. им. К.Маркса!B13:O33"")"),"Авдеенко Иван Олегович")</f>
        <v>Авдеенко Иван Олегович</v>
      </c>
      <c r="C136" s="56"/>
      <c r="D136" s="57" t="str">
        <f ca="1">IFERROR(__xludf.DUMMYFUNCTION("""COMPUTED_VALUE"""),"МОУ ""СОШ п. им. К. Маркса""")</f>
        <v>МОУ "СОШ п. им. К. Маркса"</v>
      </c>
      <c r="E136" s="34">
        <f ca="1">IFERROR(__xludf.DUMMYFUNCTION("""COMPUTED_VALUE"""),6)</f>
        <v>6</v>
      </c>
      <c r="F136" s="56" t="str">
        <f ca="1">IFERROR(__xludf.DUMMYFUNCTION("""COMPUTED_VALUE"""),"Постнова Ольга Вениаминовна")</f>
        <v>Постнова Ольга Вениаминовна</v>
      </c>
      <c r="G136" s="34">
        <f ca="1">IFERROR(__xludf.DUMMYFUNCTION("""COMPUTED_VALUE"""),2)</f>
        <v>2</v>
      </c>
      <c r="H136" s="34">
        <f ca="1">IFERROR(__xludf.DUMMYFUNCTION("""COMPUTED_VALUE"""),6)</f>
        <v>6</v>
      </c>
      <c r="I136" s="34">
        <f ca="1">IFERROR(__xludf.DUMMYFUNCTION("""COMPUTED_VALUE"""),4)</f>
        <v>4</v>
      </c>
      <c r="J136" s="34">
        <v>10</v>
      </c>
      <c r="K136" s="34"/>
      <c r="L136" s="34"/>
      <c r="M136" s="33">
        <f t="shared" ca="1" si="6"/>
        <v>22</v>
      </c>
      <c r="N136" s="33"/>
      <c r="O136" s="86">
        <f t="shared" ref="O136:O144" ca="1" si="7">M136</f>
        <v>22</v>
      </c>
      <c r="P136" s="33">
        <v>130</v>
      </c>
      <c r="Q136" s="50" t="s">
        <v>88</v>
      </c>
      <c r="R136" s="20"/>
      <c r="S136" s="20"/>
      <c r="T136" s="20"/>
    </row>
    <row r="137" spans="1:20" ht="12.75" x14ac:dyDescent="0.2">
      <c r="A137" s="33">
        <v>130</v>
      </c>
      <c r="B137" s="59" t="str">
        <f ca="1">IFERROR(__xludf.DUMMYFUNCTION("""COMPUTED_VALUE"""),"Потапов Артём Александрович")</f>
        <v>Потапов Артём Александрович</v>
      </c>
      <c r="C137" s="56"/>
      <c r="D137" s="57" t="str">
        <f ca="1">IFERROR(__xludf.DUMMYFUNCTION("""COMPUTED_VALUE"""),"МОУ ""СОШ п. им. К. Маркса""")</f>
        <v>МОУ "СОШ п. им. К. Маркса"</v>
      </c>
      <c r="E137" s="34">
        <f ca="1">IFERROR(__xludf.DUMMYFUNCTION("""COMPUTED_VALUE"""),6)</f>
        <v>6</v>
      </c>
      <c r="F137" s="56" t="str">
        <f ca="1">IFERROR(__xludf.DUMMYFUNCTION("""COMPUTED_VALUE"""),"Постнова Ольга Вениаминовна")</f>
        <v>Постнова Ольга Вениаминовна</v>
      </c>
      <c r="G137" s="34">
        <f ca="1">IFERROR(__xludf.DUMMYFUNCTION("""COMPUTED_VALUE"""),5)</f>
        <v>5</v>
      </c>
      <c r="H137" s="34">
        <f ca="1">IFERROR(__xludf.DUMMYFUNCTION("""COMPUTED_VALUE"""),2)</f>
        <v>2</v>
      </c>
      <c r="I137" s="34">
        <f ca="1">IFERROR(__xludf.DUMMYFUNCTION("""COMPUTED_VALUE"""),4)</f>
        <v>4</v>
      </c>
      <c r="J137" s="34">
        <v>11</v>
      </c>
      <c r="K137" s="34"/>
      <c r="L137" s="34"/>
      <c r="M137" s="33">
        <f t="shared" ca="1" si="6"/>
        <v>22</v>
      </c>
      <c r="N137" s="33"/>
      <c r="O137" s="86">
        <f t="shared" ca="1" si="7"/>
        <v>22</v>
      </c>
      <c r="P137" s="86">
        <v>131</v>
      </c>
      <c r="Q137" s="50" t="s">
        <v>88</v>
      </c>
      <c r="R137" s="20"/>
      <c r="S137" s="20"/>
      <c r="T137" s="20"/>
    </row>
    <row r="138" spans="1:20" ht="12.75" x14ac:dyDescent="0.2">
      <c r="A138" s="33">
        <v>131</v>
      </c>
      <c r="B138" s="59" t="str">
        <f ca="1">IFERROR(__xludf.DUMMYFUNCTION("""COMPUTED_VALUE"""),"Яровая Любовь Валерьевна")</f>
        <v>Яровая Любовь Валерьевна</v>
      </c>
      <c r="C138" s="56"/>
      <c r="D138" s="57" t="str">
        <f ca="1">IFERROR(__xludf.DUMMYFUNCTION("""COMPUTED_VALUE"""),"МОУ ""СОШ п. им. К. Маркса""")</f>
        <v>МОУ "СОШ п. им. К. Маркса"</v>
      </c>
      <c r="E138" s="34">
        <f ca="1">IFERROR(__xludf.DUMMYFUNCTION("""COMPUTED_VALUE"""),6)</f>
        <v>6</v>
      </c>
      <c r="F138" s="56" t="str">
        <f ca="1">IFERROR(__xludf.DUMMYFUNCTION("""COMPUTED_VALUE"""),"Постнова Ольга Вениаминовна")</f>
        <v>Постнова Ольга Вениаминовна</v>
      </c>
      <c r="G138" s="34">
        <f ca="1">IFERROR(__xludf.DUMMYFUNCTION("""COMPUTED_VALUE"""),5)</f>
        <v>5</v>
      </c>
      <c r="H138" s="34">
        <f ca="1">IFERROR(__xludf.DUMMYFUNCTION("""COMPUTED_VALUE"""),4)</f>
        <v>4</v>
      </c>
      <c r="I138" s="34">
        <f ca="1">IFERROR(__xludf.DUMMYFUNCTION("""COMPUTED_VALUE"""),5)</f>
        <v>5</v>
      </c>
      <c r="J138" s="34">
        <v>8</v>
      </c>
      <c r="K138" s="34"/>
      <c r="L138" s="34"/>
      <c r="M138" s="33">
        <f t="shared" ca="1" si="6"/>
        <v>22</v>
      </c>
      <c r="N138" s="33"/>
      <c r="O138" s="86">
        <f t="shared" ca="1" si="7"/>
        <v>22</v>
      </c>
      <c r="P138" s="33">
        <v>132</v>
      </c>
      <c r="Q138" s="50" t="s">
        <v>88</v>
      </c>
      <c r="R138" s="20"/>
      <c r="S138" s="20"/>
      <c r="T138" s="20"/>
    </row>
    <row r="139" spans="1:20" ht="12.75" x14ac:dyDescent="0.2">
      <c r="A139" s="33">
        <v>132</v>
      </c>
      <c r="B139" s="52" t="str">
        <f ca="1">IFERROR(__xludf.DUMMYFUNCTION("""COMPUTED_VALUE"""),"Рзаева Милана Маратовна")</f>
        <v>Рзаева Милана Маратовна</v>
      </c>
      <c r="C139" s="53"/>
      <c r="D139" s="54" t="str">
        <f ca="1">IFERROR(__xludf.DUMMYFUNCTION("""COMPUTED_VALUE"""),"МОУ ""СОШ №1""")</f>
        <v>МОУ "СОШ №1"</v>
      </c>
      <c r="E139" s="33">
        <f ca="1">IFERROR(__xludf.DUMMYFUNCTION("""COMPUTED_VALUE"""),6)</f>
        <v>6</v>
      </c>
      <c r="F139" s="53" t="str">
        <f ca="1">IFERROR(__xludf.DUMMYFUNCTION("""COMPUTED_VALUE"""),"Решетникова Светлана Евгеньевна")</f>
        <v>Решетникова Светлана Евгеньевна</v>
      </c>
      <c r="G139" s="33">
        <f ca="1">IFERROR(__xludf.DUMMYFUNCTION("""COMPUTED_VALUE"""),5)</f>
        <v>5</v>
      </c>
      <c r="H139" s="33">
        <f ca="1">IFERROR(__xludf.DUMMYFUNCTION("""COMPUTED_VALUE"""),1)</f>
        <v>1</v>
      </c>
      <c r="I139" s="33">
        <f ca="1">IFERROR(__xludf.DUMMYFUNCTION("""COMPUTED_VALUE"""),4)</f>
        <v>4</v>
      </c>
      <c r="J139" s="33">
        <v>11</v>
      </c>
      <c r="K139" s="33"/>
      <c r="L139" s="33"/>
      <c r="M139" s="33">
        <f t="shared" ca="1" si="6"/>
        <v>21</v>
      </c>
      <c r="N139" s="33"/>
      <c r="O139" s="86">
        <f t="shared" ca="1" si="7"/>
        <v>21</v>
      </c>
      <c r="P139" s="86">
        <v>133</v>
      </c>
      <c r="Q139" s="50" t="s">
        <v>88</v>
      </c>
      <c r="R139" s="20"/>
      <c r="S139" s="20"/>
      <c r="T139" s="20"/>
    </row>
    <row r="140" spans="1:20" ht="12.75" x14ac:dyDescent="0.2">
      <c r="A140" s="33">
        <v>133</v>
      </c>
      <c r="B140" s="59" t="str">
        <f ca="1">IFERROR(__xludf.DUMMYFUNCTION("""COMPUTED_VALUE"""),"Ханларова Алина Садаевна")</f>
        <v>Ханларова Алина Садаевна</v>
      </c>
      <c r="C140" s="56"/>
      <c r="D140" s="57" t="str">
        <f ca="1">IFERROR(__xludf.DUMMYFUNCTION("""COMPUTED_VALUE"""),"МОУ ""СОШ п. Придорожный""")</f>
        <v>МОУ "СОШ п. Придорожный"</v>
      </c>
      <c r="E140" s="34">
        <f ca="1">IFERROR(__xludf.DUMMYFUNCTION("""COMPUTED_VALUE"""),6)</f>
        <v>6</v>
      </c>
      <c r="F140" s="56" t="str">
        <f ca="1">IFERROR(__xludf.DUMMYFUNCTION("""COMPUTED_VALUE"""),"Демешко Екатерина Валерьевна")</f>
        <v>Демешко Екатерина Валерьевна</v>
      </c>
      <c r="G140" s="34">
        <f ca="1">IFERROR(__xludf.DUMMYFUNCTION("""COMPUTED_VALUE"""),6)</f>
        <v>6</v>
      </c>
      <c r="H140" s="34">
        <f ca="1">IFERROR(__xludf.DUMMYFUNCTION("""COMPUTED_VALUE"""),3)</f>
        <v>3</v>
      </c>
      <c r="I140" s="34">
        <f ca="1">IFERROR(__xludf.DUMMYFUNCTION("""COMPUTED_VALUE"""),7)</f>
        <v>7</v>
      </c>
      <c r="J140" s="34">
        <v>3</v>
      </c>
      <c r="K140" s="34"/>
      <c r="L140" s="34"/>
      <c r="M140" s="33">
        <f t="shared" ca="1" si="6"/>
        <v>19</v>
      </c>
      <c r="N140" s="33"/>
      <c r="O140" s="86">
        <f t="shared" ca="1" si="7"/>
        <v>19</v>
      </c>
      <c r="P140" s="33">
        <v>134</v>
      </c>
      <c r="Q140" s="50" t="s">
        <v>88</v>
      </c>
      <c r="R140" s="20"/>
      <c r="S140" s="20"/>
      <c r="T140" s="20"/>
    </row>
    <row r="141" spans="1:20" ht="12.75" x14ac:dyDescent="0.2">
      <c r="A141" s="33">
        <v>134</v>
      </c>
      <c r="B141" s="52" t="str">
        <f ca="1">IFERROR(__xludf.DUMMYFUNCTION("""COMPUTED_VALUE"""),"Тимофеева Вероника Александровна")</f>
        <v>Тимофеева Вероника Александровна</v>
      </c>
      <c r="C141" s="53"/>
      <c r="D141" s="54" t="str">
        <f ca="1">IFERROR(__xludf.DUMMYFUNCTION("""COMPUTED_VALUE"""),"МОУ ""СОШ №24""")</f>
        <v>МОУ "СОШ №24"</v>
      </c>
      <c r="E141" s="33">
        <f ca="1">IFERROR(__xludf.DUMMYFUNCTION("""COMPUTED_VALUE"""),6)</f>
        <v>6</v>
      </c>
      <c r="F141" s="53" t="str">
        <f ca="1">IFERROR(__xludf.DUMMYFUNCTION("""COMPUTED_VALUE"""),"Моисеева Татьяна Владимировна")</f>
        <v>Моисеева Татьяна Владимировна</v>
      </c>
      <c r="G141" s="33">
        <f ca="1">IFERROR(__xludf.DUMMYFUNCTION("""COMPUTED_VALUE"""),2)</f>
        <v>2</v>
      </c>
      <c r="H141" s="33">
        <f ca="1">IFERROR(__xludf.DUMMYFUNCTION("""COMPUTED_VALUE"""),4)</f>
        <v>4</v>
      </c>
      <c r="I141" s="33">
        <f ca="1">IFERROR(__xludf.DUMMYFUNCTION("""COMPUTED_VALUE"""),6)</f>
        <v>6</v>
      </c>
      <c r="J141" s="33">
        <f ca="1">IFERROR(__xludf.DUMMYFUNCTION("""COMPUTED_VALUE"""),6)</f>
        <v>6</v>
      </c>
      <c r="K141" s="33"/>
      <c r="L141" s="33"/>
      <c r="M141" s="33">
        <f t="shared" ca="1" si="6"/>
        <v>18</v>
      </c>
      <c r="N141" s="43"/>
      <c r="O141" s="86">
        <f t="shared" ca="1" si="7"/>
        <v>18</v>
      </c>
      <c r="P141" s="86">
        <v>135</v>
      </c>
      <c r="Q141" s="50" t="s">
        <v>88</v>
      </c>
      <c r="R141" s="20"/>
      <c r="S141" s="20"/>
      <c r="T141" s="20"/>
    </row>
    <row r="142" spans="1:20" ht="12.75" x14ac:dyDescent="0.2">
      <c r="A142" s="45">
        <v>135</v>
      </c>
      <c r="B142" s="59" t="str">
        <f ca="1">IFERROR(__xludf.DUMMYFUNCTION("""COMPUTED_VALUE"""),"Гогенко Дарья Сергеевна")</f>
        <v>Гогенко Дарья Сергеевна</v>
      </c>
      <c r="C142" s="56"/>
      <c r="D142" s="57" t="str">
        <f ca="1">IFERROR(__xludf.DUMMYFUNCTION("""COMPUTED_VALUE"""),"МОУ ""СОШ п. Придорожный""")</f>
        <v>МОУ "СОШ п. Придорожный"</v>
      </c>
      <c r="E142" s="34">
        <f ca="1">IFERROR(__xludf.DUMMYFUNCTION("""COMPUTED_VALUE"""),6)</f>
        <v>6</v>
      </c>
      <c r="F142" s="56" t="str">
        <f ca="1">IFERROR(__xludf.DUMMYFUNCTION("""COMPUTED_VALUE"""),"Демешко Екатерина Валерьевна")</f>
        <v>Демешко Екатерина Валерьевна</v>
      </c>
      <c r="G142" s="34">
        <f ca="1">IFERROR(__xludf.DUMMYFUNCTION("""COMPUTED_VALUE"""),5)</f>
        <v>5</v>
      </c>
      <c r="H142" s="34">
        <f ca="1">IFERROR(__xludf.DUMMYFUNCTION("""COMPUTED_VALUE"""),4)</f>
        <v>4</v>
      </c>
      <c r="I142" s="34">
        <f ca="1">IFERROR(__xludf.DUMMYFUNCTION("""COMPUTED_VALUE"""),6)</f>
        <v>6</v>
      </c>
      <c r="J142" s="34">
        <f ca="1">IFERROR(__xludf.DUMMYFUNCTION("""COMPUTED_VALUE"""),3)</f>
        <v>3</v>
      </c>
      <c r="K142" s="34"/>
      <c r="L142" s="34"/>
      <c r="M142" s="33">
        <f t="shared" ca="1" si="6"/>
        <v>18</v>
      </c>
      <c r="N142" s="33"/>
      <c r="O142" s="86">
        <f t="shared" ca="1" si="7"/>
        <v>18</v>
      </c>
      <c r="P142" s="33">
        <v>136</v>
      </c>
      <c r="Q142" s="50" t="s">
        <v>88</v>
      </c>
      <c r="R142" s="20"/>
      <c r="S142" s="20"/>
      <c r="T142" s="20"/>
    </row>
    <row r="143" spans="1:20" ht="15.75" customHeight="1" x14ac:dyDescent="0.2">
      <c r="A143" s="49">
        <v>136</v>
      </c>
      <c r="B143" s="65" t="str">
        <f ca="1">IFERROR(__xludf.DUMMYFUNCTION("IMPORTRANGE(""https://docs.google.com/spreadsheets/d/16CWr8ky6L0i1S4UOLMYHizeHS6aZnIDEnQPyRJyTpcI/edit#gid=0"", ""СОШ №19!B8:O12"")"),"Чобоньян Павел Романович")</f>
        <v>Чобоньян Павел Романович</v>
      </c>
      <c r="C143" s="53"/>
      <c r="D143" s="54" t="str">
        <f ca="1">IFERROR(__xludf.DUMMYFUNCTION("""COMPUTED_VALUE"""),"МОУ ""СОШ №19""")</f>
        <v>МОУ "СОШ №19"</v>
      </c>
      <c r="E143" s="33">
        <f ca="1">IFERROR(__xludf.DUMMYFUNCTION("""COMPUTED_VALUE"""),6)</f>
        <v>6</v>
      </c>
      <c r="F143" s="53" t="str">
        <f ca="1">IFERROR(__xludf.DUMMYFUNCTION("""COMPUTED_VALUE"""),"Бахтина Татьяна Юрьевна")</f>
        <v>Бахтина Татьяна Юрьевна</v>
      </c>
      <c r="G143" s="33">
        <f ca="1">IFERROR(__xludf.DUMMYFUNCTION("""COMPUTED_VALUE"""),5)</f>
        <v>5</v>
      </c>
      <c r="H143" s="33">
        <v>6</v>
      </c>
      <c r="I143" s="33">
        <f ca="1">IFERROR(__xludf.DUMMYFUNCTION("""COMPUTED_VALUE"""),6)</f>
        <v>6</v>
      </c>
      <c r="J143" s="33">
        <f ca="1">IFERROR(__xludf.DUMMYFUNCTION("""COMPUTED_VALUE"""),0)</f>
        <v>0</v>
      </c>
      <c r="K143" s="33"/>
      <c r="L143" s="33"/>
      <c r="M143" s="33">
        <f t="shared" ca="1" si="6"/>
        <v>17</v>
      </c>
      <c r="N143" s="33"/>
      <c r="O143" s="86">
        <f t="shared" ca="1" si="7"/>
        <v>17</v>
      </c>
      <c r="P143" s="86">
        <v>137</v>
      </c>
      <c r="Q143" s="50" t="s">
        <v>88</v>
      </c>
    </row>
    <row r="144" spans="1:20" ht="15.75" customHeight="1" x14ac:dyDescent="0.2">
      <c r="A144" s="46">
        <v>137</v>
      </c>
      <c r="B144" s="66" t="str">
        <f ca="1">IFERROR(__xludf.DUMMYFUNCTION("""COMPUTED_VALUE"""),"Кумарова Аделина Жумабековна")</f>
        <v>Кумарова Аделина Жумабековна</v>
      </c>
      <c r="C144" s="67"/>
      <c r="D144" s="68" t="str">
        <f ca="1">IFERROR(__xludf.DUMMYFUNCTION("""COMPUTED_VALUE"""),"МОУ ""СОШ п. Придорожный""")</f>
        <v>МОУ "СОШ п. Придорожный"</v>
      </c>
      <c r="E144" s="51">
        <f ca="1">IFERROR(__xludf.DUMMYFUNCTION("""COMPUTED_VALUE"""),6)</f>
        <v>6</v>
      </c>
      <c r="F144" s="67" t="str">
        <f ca="1">IFERROR(__xludf.DUMMYFUNCTION("""COMPUTED_VALUE"""),"Демешко Екатерина Валерьевна")</f>
        <v>Демешко Екатерина Валерьевна</v>
      </c>
      <c r="G144" s="51">
        <f ca="1">IFERROR(__xludf.DUMMYFUNCTION("""COMPUTED_VALUE"""),5)</f>
        <v>5</v>
      </c>
      <c r="H144" s="51">
        <f ca="1">IFERROR(__xludf.DUMMYFUNCTION("""COMPUTED_VALUE"""),3)</f>
        <v>3</v>
      </c>
      <c r="I144" s="51">
        <f ca="1">IFERROR(__xludf.DUMMYFUNCTION("""COMPUTED_VALUE"""),5)</f>
        <v>5</v>
      </c>
      <c r="J144" s="51">
        <f ca="1">IFERROR(__xludf.DUMMYFUNCTION("""COMPUTED_VALUE"""),3)</f>
        <v>3</v>
      </c>
      <c r="K144" s="51"/>
      <c r="L144" s="51"/>
      <c r="M144" s="33">
        <f t="shared" ca="1" si="6"/>
        <v>16</v>
      </c>
      <c r="N144" s="49"/>
      <c r="O144" s="86">
        <f t="shared" ca="1" si="7"/>
        <v>16</v>
      </c>
      <c r="P144" s="33">
        <v>138</v>
      </c>
      <c r="Q144" s="50" t="s">
        <v>88</v>
      </c>
    </row>
  </sheetData>
  <sortState ref="A6:S143">
    <sortCondition descending="1" ref="M6:M143"/>
  </sortState>
  <mergeCells count="10">
    <mergeCell ref="G5:J5"/>
    <mergeCell ref="A2:Q2"/>
    <mergeCell ref="A3:Q3"/>
    <mergeCell ref="A5:A6"/>
    <mergeCell ref="B5:B6"/>
    <mergeCell ref="C5:C6"/>
    <mergeCell ref="D5:D6"/>
    <mergeCell ref="E5:E6"/>
    <mergeCell ref="F5:F6"/>
    <mergeCell ref="A4:Q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29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29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29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29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29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29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29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29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29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29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29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29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29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29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29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29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29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29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29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29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29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29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29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29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29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29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29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29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29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29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29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29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29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29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29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30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30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30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30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30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30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30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30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30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30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30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30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30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30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30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30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30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30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30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30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30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30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30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30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30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30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30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30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30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30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30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30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30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30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30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31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31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31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31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31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31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31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31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31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31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31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31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31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31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31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31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31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31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31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31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31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31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31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31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31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31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31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31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31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31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31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31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31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31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31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32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32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32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32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32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32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32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32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32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32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32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32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32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32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32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32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32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32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32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32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32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32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32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32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32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32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32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32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32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32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32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32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32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32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32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33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33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33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33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33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33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33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33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33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33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33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33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33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33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33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33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33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33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33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33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33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33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33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33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33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33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33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33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33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33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33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33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33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33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33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34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34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34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34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34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34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34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34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34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34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34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34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34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34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34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34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34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34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34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34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34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34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34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34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34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34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34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34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34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34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34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34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34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34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34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35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35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35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35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35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35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35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35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35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35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35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35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35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35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35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35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35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35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35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35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35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35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35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35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35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35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35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35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35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35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35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35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35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35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35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36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36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36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36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36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36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36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36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36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36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36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36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36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36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36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36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36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36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36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36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36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36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36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36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36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36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36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36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36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36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36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36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36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36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36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37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37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37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37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37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37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37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37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37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37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37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37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37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37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37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37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37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37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37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37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37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37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37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37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37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37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37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37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37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37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37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37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37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37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37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38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38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38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38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38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38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38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38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38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38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38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38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38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38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38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38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38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38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38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38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38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38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38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38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38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38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38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38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38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38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38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38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38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38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38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5"/>
  <sheetViews>
    <sheetView topLeftCell="F1" workbookViewId="0">
      <selection activeCell="Q5" sqref="Q5:Q16"/>
    </sheetView>
  </sheetViews>
  <sheetFormatPr defaultColWidth="14.42578125" defaultRowHeight="15.75" customHeight="1" x14ac:dyDescent="0.2"/>
  <cols>
    <col min="1" max="1" width="7" customWidth="1"/>
    <col min="2" max="2" width="38.7109375" customWidth="1"/>
    <col min="3" max="3" width="12.5703125" customWidth="1"/>
    <col min="4" max="4" width="36" customWidth="1"/>
    <col min="5" max="5" width="9.85546875" customWidth="1"/>
    <col min="6" max="6" width="33" customWidth="1"/>
    <col min="7" max="9" width="10.85546875" customWidth="1"/>
    <col min="10" max="10" width="10.85546875" hidden="1" customWidth="1"/>
    <col min="16" max="16" width="32.7109375" customWidth="1"/>
  </cols>
  <sheetData>
    <row r="1" spans="1:18" s="32" customFormat="1" ht="15.75" customHeight="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32" customFormat="1" ht="15.75" customHeight="1" x14ac:dyDescent="0.25">
      <c r="A2" s="108" t="s">
        <v>101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32" customFormat="1" ht="15.75" customHeight="1" x14ac:dyDescent="0.25">
      <c r="A3" s="108" t="s">
        <v>102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32" customFormat="1" ht="15.75" customHeight="1" x14ac:dyDescent="0.25">
      <c r="A4" s="108" t="s">
        <v>107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32" customFormat="1" ht="28.5" customHeight="1" x14ac:dyDescent="0.2">
      <c r="A5" s="112" t="s">
        <v>0</v>
      </c>
      <c r="B5" s="112" t="s">
        <v>1</v>
      </c>
      <c r="C5" s="112" t="s">
        <v>2</v>
      </c>
      <c r="D5" s="112" t="s">
        <v>3</v>
      </c>
      <c r="E5" s="112" t="s">
        <v>4</v>
      </c>
      <c r="F5" s="112" t="s">
        <v>5</v>
      </c>
      <c r="G5" s="112" t="s">
        <v>6</v>
      </c>
      <c r="H5" s="113"/>
      <c r="I5" s="113"/>
      <c r="J5" s="104"/>
      <c r="K5" s="105" t="s">
        <v>12</v>
      </c>
      <c r="L5" s="111" t="s">
        <v>8</v>
      </c>
      <c r="M5" s="111" t="s">
        <v>9</v>
      </c>
      <c r="N5" s="111" t="s">
        <v>10</v>
      </c>
      <c r="O5" s="111" t="s">
        <v>11</v>
      </c>
      <c r="P5" s="111"/>
      <c r="Q5" s="103" t="s">
        <v>138</v>
      </c>
    </row>
    <row r="6" spans="1:18" s="32" customFormat="1" ht="12.75" x14ac:dyDescent="0.2">
      <c r="A6" s="112"/>
      <c r="B6" s="112"/>
      <c r="C6" s="112"/>
      <c r="D6" s="112"/>
      <c r="E6" s="112"/>
      <c r="F6" s="112"/>
      <c r="G6" s="105" t="s">
        <v>56</v>
      </c>
      <c r="H6" s="105" t="s">
        <v>57</v>
      </c>
      <c r="I6" s="105" t="s">
        <v>58</v>
      </c>
      <c r="J6" s="105"/>
      <c r="K6" s="105">
        <v>24</v>
      </c>
      <c r="L6" s="111"/>
      <c r="M6" s="111"/>
      <c r="N6" s="111"/>
      <c r="O6" s="106"/>
      <c r="P6" s="105"/>
      <c r="Q6" s="30" t="s">
        <v>59</v>
      </c>
    </row>
    <row r="7" spans="1:18" ht="12.75" x14ac:dyDescent="0.2">
      <c r="A7" s="48">
        <v>1</v>
      </c>
      <c r="B7" s="70" t="str">
        <f ca="1">IFERROR(__xludf.DUMMYFUNCTION("IMPORTRANGE(""https://docs.google.com/spreadsheets/d/16CWr8ky6L0i1S4UOLMYHizeHS6aZnIDEnQPyRJyTpcI/edit#gid=0"", ""СОШ №5!B13:O17"")"),"Шагера Ирина Дмитриевна")</f>
        <v>Шагера Ирина Дмитриевна</v>
      </c>
      <c r="C7" s="48"/>
      <c r="D7" s="72" t="str">
        <f ca="1">IFERROR(__xludf.DUMMYFUNCTION("""COMPUTED_VALUE"""),"МОУ ""СОШ №5""")</f>
        <v>МОУ "СОШ №5"</v>
      </c>
      <c r="E7" s="48">
        <f ca="1">IFERROR(__xludf.DUMMYFUNCTION("""COMPUTED_VALUE"""),7)</f>
        <v>7</v>
      </c>
      <c r="F7" s="70" t="str">
        <f ca="1">IFERROR(__xludf.DUMMYFUNCTION("""COMPUTED_VALUE"""),"Мешкова Екатерина Олеговна")</f>
        <v>Мешкова Екатерина Олеговна</v>
      </c>
      <c r="G7" s="48">
        <f ca="1">IFERROR(__xludf.DUMMYFUNCTION("""COMPUTED_VALUE"""),5)</f>
        <v>5</v>
      </c>
      <c r="H7" s="48">
        <v>13</v>
      </c>
      <c r="I7" s="48">
        <f ca="1">IFERROR(__xludf.DUMMYFUNCTION("""COMPUTED_VALUE"""),5)</f>
        <v>5</v>
      </c>
      <c r="J7" s="48"/>
      <c r="K7" s="48">
        <f t="shared" ref="K7:K51" ca="1" si="0">SUM(G7:I7)</f>
        <v>23</v>
      </c>
      <c r="L7" s="48"/>
      <c r="M7" s="48">
        <f ca="1">K7</f>
        <v>23</v>
      </c>
      <c r="N7" s="48">
        <v>1</v>
      </c>
      <c r="O7" s="48" t="s">
        <v>96</v>
      </c>
      <c r="P7" s="48" t="s">
        <v>109</v>
      </c>
      <c r="Q7" s="30" t="s">
        <v>60</v>
      </c>
    </row>
    <row r="8" spans="1:18" ht="12.75" x14ac:dyDescent="0.2">
      <c r="A8" s="48">
        <v>2</v>
      </c>
      <c r="B8" s="70" t="str">
        <f ca="1">IFERROR(__xludf.DUMMYFUNCTION("""COMPUTED_VALUE"""),"Полешко Юлия Олеговна")</f>
        <v>Полешко Юлия Олеговна</v>
      </c>
      <c r="C8" s="48"/>
      <c r="D8" s="72" t="str">
        <f ca="1">IFERROR(__xludf.DUMMYFUNCTION("""COMPUTED_VALUE"""),"МОУ ""СОШ №4""")</f>
        <v>МОУ "СОШ №4"</v>
      </c>
      <c r="E8" s="48">
        <f ca="1">IFERROR(__xludf.DUMMYFUNCTION("""COMPUTED_VALUE"""),7)</f>
        <v>7</v>
      </c>
      <c r="F8" s="70" t="str">
        <f ca="1">IFERROR(__xludf.DUMMYFUNCTION("""COMPUTED_VALUE"""),"Баранова Оксана Анатольевна")</f>
        <v>Баранова Оксана Анатольевна</v>
      </c>
      <c r="G8" s="48">
        <f ca="1">IFERROR(__xludf.DUMMYFUNCTION("""COMPUTED_VALUE"""),5)</f>
        <v>5</v>
      </c>
      <c r="H8" s="48">
        <f ca="1">IFERROR(__xludf.DUMMYFUNCTION("""COMPUTED_VALUE"""),13)</f>
        <v>13</v>
      </c>
      <c r="I8" s="48">
        <f ca="1">IFERROR(__xludf.DUMMYFUNCTION("""COMPUTED_VALUE"""),5)</f>
        <v>5</v>
      </c>
      <c r="J8" s="48"/>
      <c r="K8" s="48">
        <f t="shared" ca="1" si="0"/>
        <v>23</v>
      </c>
      <c r="L8" s="69"/>
      <c r="M8" s="48">
        <f t="shared" ref="M8:M71" ca="1" si="1">K8</f>
        <v>23</v>
      </c>
      <c r="N8" s="48">
        <v>2</v>
      </c>
      <c r="O8" s="48" t="s">
        <v>96</v>
      </c>
      <c r="P8" s="48" t="s">
        <v>109</v>
      </c>
      <c r="Q8" s="30" t="s">
        <v>61</v>
      </c>
    </row>
    <row r="9" spans="1:18" ht="12.75" x14ac:dyDescent="0.2">
      <c r="A9" s="48">
        <v>3</v>
      </c>
      <c r="B9" s="70" t="str">
        <f ca="1">IFERROR(__xludf.DUMMYFUNCTION("""COMPUTED_VALUE"""),"Чуносова Анастасия Дмитриевна")</f>
        <v>Чуносова Анастасия Дмитриевна</v>
      </c>
      <c r="C9" s="48"/>
      <c r="D9" s="72" t="str">
        <f ca="1">IFERROR(__xludf.DUMMYFUNCTION("""COMPUTED_VALUE"""),"МОУ ""СОШ №33""")</f>
        <v>МОУ "СОШ №33"</v>
      </c>
      <c r="E9" s="48">
        <f ca="1">IFERROR(__xludf.DUMMYFUNCTION("""COMPUTED_VALUE"""),7)</f>
        <v>7</v>
      </c>
      <c r="F9" s="70" t="str">
        <f ca="1">IFERROR(__xludf.DUMMYFUNCTION("""COMPUTED_VALUE"""),"Власова Татьяна Станиславовна")</f>
        <v>Власова Татьяна Станиславовна</v>
      </c>
      <c r="G9" s="48">
        <f ca="1">IFERROR(__xludf.DUMMYFUNCTION("""COMPUTED_VALUE"""),5)</f>
        <v>5</v>
      </c>
      <c r="H9" s="48">
        <f ca="1">IFERROR(__xludf.DUMMYFUNCTION("""COMPUTED_VALUE"""),13)</f>
        <v>13</v>
      </c>
      <c r="I9" s="48">
        <f ca="1">IFERROR(__xludf.DUMMYFUNCTION("""COMPUTED_VALUE"""),5)</f>
        <v>5</v>
      </c>
      <c r="J9" s="48"/>
      <c r="K9" s="48">
        <f t="shared" ca="1" si="0"/>
        <v>23</v>
      </c>
      <c r="L9" s="69"/>
      <c r="M9" s="48">
        <f t="shared" ca="1" si="1"/>
        <v>23</v>
      </c>
      <c r="N9" s="48">
        <v>3</v>
      </c>
      <c r="O9" s="48" t="s">
        <v>96</v>
      </c>
      <c r="P9" s="48" t="s">
        <v>109</v>
      </c>
    </row>
    <row r="10" spans="1:18" ht="12.75" x14ac:dyDescent="0.2">
      <c r="A10" s="48">
        <v>4</v>
      </c>
      <c r="B10" s="66" t="str">
        <f ca="1">IFERROR(__xludf.DUMMYFUNCTION("""COMPUTED_VALUE"""),"Карюк Екатерина Сергеевна")</f>
        <v>Карюк Екатерина Сергеевна</v>
      </c>
      <c r="C10" s="47"/>
      <c r="D10" s="73" t="str">
        <f ca="1">IFERROR(__xludf.DUMMYFUNCTION("""COMPUTED_VALUE"""),"МОУ ""СОШ №33""")</f>
        <v>МОУ "СОШ №33"</v>
      </c>
      <c r="E10" s="47">
        <f ca="1">IFERROR(__xludf.DUMMYFUNCTION("""COMPUTED_VALUE"""),7)</f>
        <v>7</v>
      </c>
      <c r="F10" s="66" t="str">
        <f ca="1">IFERROR(__xludf.DUMMYFUNCTION("""COMPUTED_VALUE"""),"Сибряева Надежда Васильевна")</f>
        <v>Сибряева Надежда Васильевна</v>
      </c>
      <c r="G10" s="47">
        <f ca="1">IFERROR(__xludf.DUMMYFUNCTION("""COMPUTED_VALUE"""),4)</f>
        <v>4</v>
      </c>
      <c r="H10" s="47">
        <f ca="1">IFERROR(__xludf.DUMMYFUNCTION("""COMPUTED_VALUE"""),14)</f>
        <v>14</v>
      </c>
      <c r="I10" s="47">
        <f ca="1">IFERROR(__xludf.DUMMYFUNCTION("""COMPUTED_VALUE"""),5)</f>
        <v>5</v>
      </c>
      <c r="J10" s="47"/>
      <c r="K10" s="48">
        <f t="shared" ca="1" si="0"/>
        <v>23</v>
      </c>
      <c r="L10" s="69"/>
      <c r="M10" s="48">
        <f t="shared" ca="1" si="1"/>
        <v>23</v>
      </c>
      <c r="N10" s="48">
        <v>4</v>
      </c>
      <c r="O10" s="48" t="s">
        <v>96</v>
      </c>
      <c r="P10" s="48" t="s">
        <v>109</v>
      </c>
      <c r="Q10" s="30" t="s">
        <v>94</v>
      </c>
    </row>
    <row r="11" spans="1:18" ht="12.75" x14ac:dyDescent="0.2">
      <c r="A11" s="48">
        <v>5</v>
      </c>
      <c r="B11" s="70" t="str">
        <f ca="1">IFERROR(__xludf.DUMMYFUNCTION("""COMPUTED_VALUE"""),"Скопинцева Василиса Викторовна")</f>
        <v>Скопинцева Василиса Викторовна</v>
      </c>
      <c r="C11" s="48"/>
      <c r="D11" s="72" t="str">
        <f ca="1">IFERROR(__xludf.DUMMYFUNCTION("""COMPUTED_VALUE"""),"МОУ ""СОШ №5""")</f>
        <v>МОУ "СОШ №5"</v>
      </c>
      <c r="E11" s="48">
        <f ca="1">IFERROR(__xludf.DUMMYFUNCTION("""COMPUTED_VALUE"""),7)</f>
        <v>7</v>
      </c>
      <c r="F11" s="70" t="str">
        <f ca="1">IFERROR(__xludf.DUMMYFUNCTION("""COMPUTED_VALUE"""),"Мешкова Екатерина Олеговна")</f>
        <v>Мешкова Екатерина Олеговна</v>
      </c>
      <c r="G11" s="48">
        <f ca="1">IFERROR(__xludf.DUMMYFUNCTION("""COMPUTED_VALUE"""),5)</f>
        <v>5</v>
      </c>
      <c r="H11" s="48">
        <f ca="1">IFERROR(__xludf.DUMMYFUNCTION("""COMPUTED_VALUE"""),12)</f>
        <v>12</v>
      </c>
      <c r="I11" s="48">
        <f ca="1">IFERROR(__xludf.DUMMYFUNCTION("""COMPUTED_VALUE"""),5)</f>
        <v>5</v>
      </c>
      <c r="J11" s="48"/>
      <c r="K11" s="48">
        <f t="shared" ca="1" si="0"/>
        <v>22</v>
      </c>
      <c r="L11" s="48"/>
      <c r="M11" s="48">
        <f t="shared" ca="1" si="1"/>
        <v>22</v>
      </c>
      <c r="N11" s="48">
        <v>5</v>
      </c>
      <c r="O11" s="48" t="s">
        <v>96</v>
      </c>
      <c r="P11" s="48" t="s">
        <v>109</v>
      </c>
      <c r="Q11" s="30" t="s">
        <v>95</v>
      </c>
    </row>
    <row r="12" spans="1:18" ht="12.75" x14ac:dyDescent="0.2">
      <c r="A12" s="48">
        <v>6</v>
      </c>
      <c r="B12" s="70" t="str">
        <f ca="1">IFERROR(__xludf.DUMMYFUNCTION("IMPORTRANGE(""https://docs.google.com/spreadsheets/d/16CWr8ky6L0i1S4UOLMYHizeHS6aZnIDEnQPyRJyTpcI/edit#gid=0"", ""СОШ №4!B13:O17"")"),"Шатило Анастасия Денисовны")</f>
        <v>Шатило Анастасия Денисовны</v>
      </c>
      <c r="C12" s="48"/>
      <c r="D12" s="72" t="str">
        <f ca="1">IFERROR(__xludf.DUMMYFUNCTION("""COMPUTED_VALUE"""),"МОУ ""СОШ №4""")</f>
        <v>МОУ "СОШ №4"</v>
      </c>
      <c r="E12" s="48">
        <f ca="1">IFERROR(__xludf.DUMMYFUNCTION("""COMPUTED_VALUE"""),7)</f>
        <v>7</v>
      </c>
      <c r="F12" s="70" t="str">
        <f ca="1">IFERROR(__xludf.DUMMYFUNCTION("""COMPUTED_VALUE"""),"Баранова Оксана Анатольевна")</f>
        <v>Баранова Оксана Анатольевна</v>
      </c>
      <c r="G12" s="48">
        <f ca="1">IFERROR(__xludf.DUMMYFUNCTION("""COMPUTED_VALUE"""),5)</f>
        <v>5</v>
      </c>
      <c r="H12" s="48">
        <f ca="1">IFERROR(__xludf.DUMMYFUNCTION("""COMPUTED_VALUE"""),13)</f>
        <v>13</v>
      </c>
      <c r="I12" s="48">
        <f ca="1">IFERROR(__xludf.DUMMYFUNCTION("""COMPUTED_VALUE"""),4)</f>
        <v>4</v>
      </c>
      <c r="J12" s="48"/>
      <c r="K12" s="48">
        <f t="shared" ca="1" si="0"/>
        <v>22</v>
      </c>
      <c r="L12" s="69"/>
      <c r="M12" s="48">
        <f t="shared" ca="1" si="1"/>
        <v>22</v>
      </c>
      <c r="N12" s="48">
        <v>6</v>
      </c>
      <c r="O12" s="48" t="s">
        <v>96</v>
      </c>
      <c r="P12" s="48" t="s">
        <v>109</v>
      </c>
    </row>
    <row r="13" spans="1:18" ht="12.75" x14ac:dyDescent="0.2">
      <c r="A13" s="48">
        <v>7</v>
      </c>
      <c r="B13" s="70" t="str">
        <f ca="1">IFERROR(__xludf.DUMMYFUNCTION("IMPORTRANGE(""https://docs.google.com/spreadsheets/d/16CWr8ky6L0i1S4UOLMYHizeHS6aZnIDEnQPyRJyTpcI/edit#gid=0"", ""СОШ №31!B13:O17"")"),"Батаргалиева Аида Ренатовна")</f>
        <v>Батаргалиева Аида Ренатовна</v>
      </c>
      <c r="C13" s="48"/>
      <c r="D13" s="72" t="str">
        <f ca="1">IFERROR(__xludf.DUMMYFUNCTION("""COMPUTED_VALUE"""),"МОУ ""СОШ №31""")</f>
        <v>МОУ "СОШ №31"</v>
      </c>
      <c r="E13" s="48">
        <f ca="1">IFERROR(__xludf.DUMMYFUNCTION("""COMPUTED_VALUE"""),7)</f>
        <v>7</v>
      </c>
      <c r="F13" s="70" t="str">
        <f ca="1">IFERROR(__xludf.DUMMYFUNCTION("""COMPUTED_VALUE"""),"Котлярова Евгения Владимировна")</f>
        <v>Котлярова Евгения Владимировна</v>
      </c>
      <c r="G13" s="48">
        <f ca="1">IFERROR(__xludf.DUMMYFUNCTION("""COMPUTED_VALUE"""),5)</f>
        <v>5</v>
      </c>
      <c r="H13" s="48">
        <v>14</v>
      </c>
      <c r="I13" s="48">
        <v>3</v>
      </c>
      <c r="J13" s="48"/>
      <c r="K13" s="48">
        <f t="shared" ca="1" si="0"/>
        <v>22</v>
      </c>
      <c r="L13" s="48"/>
      <c r="M13" s="48">
        <f t="shared" ca="1" si="1"/>
        <v>22</v>
      </c>
      <c r="N13" s="48">
        <v>7</v>
      </c>
      <c r="O13" s="48" t="s">
        <v>96</v>
      </c>
      <c r="P13" s="48" t="s">
        <v>109</v>
      </c>
      <c r="Q13" s="30" t="s">
        <v>117</v>
      </c>
    </row>
    <row r="14" spans="1:18" ht="12.75" x14ac:dyDescent="0.2">
      <c r="A14" s="48">
        <v>8</v>
      </c>
      <c r="B14" s="70" t="str">
        <f ca="1">IFERROR(__xludf.DUMMYFUNCTION("""COMPUTED_VALUE"""),"Ермуханова Юлия Александровна")</f>
        <v>Ермуханова Юлия Александровна</v>
      </c>
      <c r="C14" s="48"/>
      <c r="D14" s="72" t="str">
        <f ca="1">IFERROR(__xludf.DUMMYFUNCTION("""COMPUTED_VALUE"""),"МОУ ""СОШ №31""")</f>
        <v>МОУ "СОШ №31"</v>
      </c>
      <c r="E14" s="48">
        <f ca="1">IFERROR(__xludf.DUMMYFUNCTION("""COMPUTED_VALUE"""),7)</f>
        <v>7</v>
      </c>
      <c r="F14" s="70" t="str">
        <f ca="1">IFERROR(__xludf.DUMMYFUNCTION("""COMPUTED_VALUE"""),"Котлярова Евгения Владимировна")</f>
        <v>Котлярова Евгения Владимировна</v>
      </c>
      <c r="G14" s="48">
        <f ca="1">IFERROR(__xludf.DUMMYFUNCTION("""COMPUTED_VALUE"""),3)</f>
        <v>3</v>
      </c>
      <c r="H14" s="48">
        <v>14</v>
      </c>
      <c r="I14" s="48">
        <v>5</v>
      </c>
      <c r="J14" s="48"/>
      <c r="K14" s="48">
        <f t="shared" ca="1" si="0"/>
        <v>22</v>
      </c>
      <c r="L14" s="48"/>
      <c r="M14" s="48">
        <f t="shared" ca="1" si="1"/>
        <v>22</v>
      </c>
      <c r="N14" s="48">
        <v>8</v>
      </c>
      <c r="O14" s="48" t="s">
        <v>96</v>
      </c>
      <c r="P14" s="48" t="s">
        <v>109</v>
      </c>
      <c r="Q14" s="30" t="s">
        <v>118</v>
      </c>
    </row>
    <row r="15" spans="1:18" ht="12.75" x14ac:dyDescent="0.2">
      <c r="A15" s="48">
        <v>9</v>
      </c>
      <c r="B15" s="70" t="str">
        <f ca="1">IFERROR(__xludf.DUMMYFUNCTION("""COMPUTED_VALUE"""),"Капралова Алена Сергеевна")</f>
        <v>Капралова Алена Сергеевна</v>
      </c>
      <c r="C15" s="48"/>
      <c r="D15" s="72" t="str">
        <f ca="1">IFERROR(__xludf.DUMMYFUNCTION("""COMPUTED_VALUE"""),"МОУ ""СОШ №33""")</f>
        <v>МОУ "СОШ №33"</v>
      </c>
      <c r="E15" s="48">
        <f ca="1">IFERROR(__xludf.DUMMYFUNCTION("""COMPUTED_VALUE"""),7)</f>
        <v>7</v>
      </c>
      <c r="F15" s="70" t="str">
        <f ca="1">IFERROR(__xludf.DUMMYFUNCTION("""COMPUTED_VALUE"""),"Власова Татьяна Станиславовна")</f>
        <v>Власова Татьяна Станиславовна</v>
      </c>
      <c r="G15" s="48">
        <f ca="1">IFERROR(__xludf.DUMMYFUNCTION("""COMPUTED_VALUE"""),5)</f>
        <v>5</v>
      </c>
      <c r="H15" s="48">
        <f ca="1">IFERROR(__xludf.DUMMYFUNCTION("""COMPUTED_VALUE"""),14)</f>
        <v>14</v>
      </c>
      <c r="I15" s="48">
        <f ca="1">IFERROR(__xludf.DUMMYFUNCTION("""COMPUTED_VALUE"""),3)</f>
        <v>3</v>
      </c>
      <c r="J15" s="48"/>
      <c r="K15" s="48">
        <f t="shared" ca="1" si="0"/>
        <v>22</v>
      </c>
      <c r="L15" s="69"/>
      <c r="M15" s="48">
        <f t="shared" ca="1" si="1"/>
        <v>22</v>
      </c>
      <c r="N15" s="48">
        <v>9</v>
      </c>
      <c r="O15" s="48" t="s">
        <v>96</v>
      </c>
      <c r="P15" s="48" t="s">
        <v>109</v>
      </c>
      <c r="Q15" s="30" t="s">
        <v>127</v>
      </c>
    </row>
    <row r="16" spans="1:18" ht="12.75" x14ac:dyDescent="0.2">
      <c r="A16" s="48">
        <v>10</v>
      </c>
      <c r="B16" s="70" t="str">
        <f ca="1">IFERROR(__xludf.DUMMYFUNCTION("""COMPUTED_VALUE"""),"Абдулова Самира ")</f>
        <v xml:space="preserve">Абдулова Самира </v>
      </c>
      <c r="C16" s="48"/>
      <c r="D16" s="72" t="str">
        <f ca="1">IFERROR(__xludf.DUMMYFUNCTION("""COMPUTED_VALUE"""),"МОУ ""СОШ №31""")</f>
        <v>МОУ "СОШ №31"</v>
      </c>
      <c r="E16" s="48">
        <f ca="1">IFERROR(__xludf.DUMMYFUNCTION("""COMPUTED_VALUE"""),7)</f>
        <v>7</v>
      </c>
      <c r="F16" s="70" t="str">
        <f ca="1">IFERROR(__xludf.DUMMYFUNCTION("""COMPUTED_VALUE"""),"Котлярова Евгения Владимировна")</f>
        <v>Котлярова Евгения Владимировна</v>
      </c>
      <c r="G16" s="48">
        <f ca="1">IFERROR(__xludf.DUMMYFUNCTION("""COMPUTED_VALUE"""),4)</f>
        <v>4</v>
      </c>
      <c r="H16" s="48">
        <v>14</v>
      </c>
      <c r="I16" s="48">
        <v>3</v>
      </c>
      <c r="J16" s="48"/>
      <c r="K16" s="48">
        <f t="shared" ca="1" si="0"/>
        <v>21</v>
      </c>
      <c r="L16" s="48"/>
      <c r="M16" s="48">
        <f t="shared" ca="1" si="1"/>
        <v>21</v>
      </c>
      <c r="N16" s="48">
        <v>10</v>
      </c>
      <c r="O16" s="48" t="s">
        <v>96</v>
      </c>
      <c r="P16" s="48" t="s">
        <v>109</v>
      </c>
      <c r="Q16" s="30" t="s">
        <v>128</v>
      </c>
    </row>
    <row r="17" spans="1:16" ht="12.75" x14ac:dyDescent="0.2">
      <c r="A17" s="48">
        <v>11</v>
      </c>
      <c r="B17" s="70" t="str">
        <f ca="1">IFERROR(__xludf.DUMMYFUNCTION("""COMPUTED_VALUE"""),"Широченко Анастасия Александровна")</f>
        <v>Широченко Анастасия Александровна</v>
      </c>
      <c r="C17" s="48"/>
      <c r="D17" s="72" t="str">
        <f ca="1">IFERROR(__xludf.DUMMYFUNCTION("""COMPUTED_VALUE"""),"МОУ ""СОШ №31""")</f>
        <v>МОУ "СОШ №31"</v>
      </c>
      <c r="E17" s="48">
        <f ca="1">IFERROR(__xludf.DUMMYFUNCTION("""COMPUTED_VALUE"""),7)</f>
        <v>7</v>
      </c>
      <c r="F17" s="70" t="str">
        <f ca="1">IFERROR(__xludf.DUMMYFUNCTION("""COMPUTED_VALUE"""),"Котлярова Евгения Владимировна")</f>
        <v>Котлярова Евгения Владимировна</v>
      </c>
      <c r="G17" s="48">
        <f ca="1">IFERROR(__xludf.DUMMYFUNCTION("""COMPUTED_VALUE"""),4)</f>
        <v>4</v>
      </c>
      <c r="H17" s="48">
        <v>13</v>
      </c>
      <c r="I17" s="48">
        <v>4</v>
      </c>
      <c r="J17" s="48"/>
      <c r="K17" s="48">
        <f t="shared" ca="1" si="0"/>
        <v>21</v>
      </c>
      <c r="L17" s="48"/>
      <c r="M17" s="48">
        <f t="shared" ca="1" si="1"/>
        <v>21</v>
      </c>
      <c r="N17" s="48">
        <v>11</v>
      </c>
      <c r="O17" s="48" t="s">
        <v>96</v>
      </c>
      <c r="P17" s="48" t="s">
        <v>109</v>
      </c>
    </row>
    <row r="18" spans="1:16" ht="12.75" x14ac:dyDescent="0.2">
      <c r="A18" s="48">
        <v>12</v>
      </c>
      <c r="B18" s="70" t="str">
        <f ca="1">IFERROR(__xludf.DUMMYFUNCTION("""COMPUTED_VALUE"""),"Солдусова Кристина Андреевна")</f>
        <v>Солдусова Кристина Андреевна</v>
      </c>
      <c r="C18" s="48"/>
      <c r="D18" s="72" t="str">
        <f ca="1">IFERROR(__xludf.DUMMYFUNCTION("""COMPUTED_VALUE"""),"МОУ ""СОШ №31""")</f>
        <v>МОУ "СОШ №31"</v>
      </c>
      <c r="E18" s="48">
        <f ca="1">IFERROR(__xludf.DUMMYFUNCTION("""COMPUTED_VALUE"""),7)</f>
        <v>7</v>
      </c>
      <c r="F18" s="70" t="str">
        <f ca="1">IFERROR(__xludf.DUMMYFUNCTION("""COMPUTED_VALUE"""),"Котлярова Евгения Владимировна")</f>
        <v>Котлярова Евгения Владимировна</v>
      </c>
      <c r="G18" s="48">
        <f ca="1">IFERROR(__xludf.DUMMYFUNCTION("""COMPUTED_VALUE"""),4)</f>
        <v>4</v>
      </c>
      <c r="H18" s="48">
        <v>13</v>
      </c>
      <c r="I18" s="48">
        <v>4</v>
      </c>
      <c r="J18" s="48"/>
      <c r="K18" s="48">
        <f t="shared" ca="1" si="0"/>
        <v>21</v>
      </c>
      <c r="L18" s="48"/>
      <c r="M18" s="48">
        <f t="shared" ca="1" si="1"/>
        <v>21</v>
      </c>
      <c r="N18" s="48">
        <v>12</v>
      </c>
      <c r="O18" s="48" t="s">
        <v>96</v>
      </c>
      <c r="P18" s="48" t="s">
        <v>109</v>
      </c>
    </row>
    <row r="19" spans="1:16" ht="12.75" x14ac:dyDescent="0.2">
      <c r="A19" s="48">
        <v>13</v>
      </c>
      <c r="B19" s="70" t="str">
        <f ca="1">IFERROR(__xludf.DUMMYFUNCTION("""COMPUTED_VALUE"""),"Федкулина Яна Ренатовна")</f>
        <v>Федкулина Яна Ренатовна</v>
      </c>
      <c r="C19" s="48"/>
      <c r="D19" s="7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19" s="48">
        <f ca="1">IFERROR(__xludf.DUMMYFUNCTION("""COMPUTED_VALUE"""),7)</f>
        <v>7</v>
      </c>
      <c r="F19" s="70" t="str">
        <f ca="1">IFERROR(__xludf.DUMMYFUNCTION("""COMPUTED_VALUE"""),"Языкова Светлана Александровна")</f>
        <v>Языкова Светлана Александровна</v>
      </c>
      <c r="G19" s="48">
        <f ca="1">IFERROR(__xludf.DUMMYFUNCTION("""COMPUTED_VALUE"""),5)</f>
        <v>5</v>
      </c>
      <c r="H19" s="48">
        <f ca="1">IFERROR(__xludf.DUMMYFUNCTION("""COMPUTED_VALUE"""),12)</f>
        <v>12</v>
      </c>
      <c r="I19" s="48">
        <f ca="1">IFERROR(__xludf.DUMMYFUNCTION("""COMPUTED_VALUE"""),4)</f>
        <v>4</v>
      </c>
      <c r="J19" s="48"/>
      <c r="K19" s="48">
        <f t="shared" ca="1" si="0"/>
        <v>21</v>
      </c>
      <c r="L19" s="69"/>
      <c r="M19" s="48">
        <f t="shared" ca="1" si="1"/>
        <v>21</v>
      </c>
      <c r="N19" s="48">
        <v>13</v>
      </c>
      <c r="O19" s="48" t="s">
        <v>96</v>
      </c>
      <c r="P19" s="48" t="s">
        <v>109</v>
      </c>
    </row>
    <row r="20" spans="1:16" ht="12.75" x14ac:dyDescent="0.2">
      <c r="A20" s="48">
        <v>14</v>
      </c>
      <c r="B20" s="71" t="str">
        <f ca="1">IFERROR(__xludf.DUMMYFUNCTION("IMPORTRANGE(""https://docs.google.com/spreadsheets/d/16CWr8ky6L0i1S4UOLMYHizeHS6aZnIDEnQPyRJyTpcI/edit#gid=0"", ""СОШ с. Зеленый Дол!B13:O17"")"),"Зибирова Дана Дмитриевна")</f>
        <v>Зибирова Дана Дмитриевна</v>
      </c>
      <c r="C20" s="47"/>
      <c r="D20" s="73" t="str">
        <f ca="1">IFERROR(__xludf.DUMMYFUNCTION("""COMPUTED_VALUE"""),"МОУ ""СОШ с. Зеленый Дол""")</f>
        <v>МОУ "СОШ с. Зеленый Дол"</v>
      </c>
      <c r="E20" s="47">
        <f ca="1">IFERROR(__xludf.DUMMYFUNCTION("""COMPUTED_VALUE"""),7)</f>
        <v>7</v>
      </c>
      <c r="F20" s="66" t="str">
        <f ca="1">IFERROR(__xludf.DUMMYFUNCTION("""COMPUTED_VALUE"""),"Абдулина Нуржамал Кайруевна")</f>
        <v>Абдулина Нуржамал Кайруевна</v>
      </c>
      <c r="G20" s="47">
        <f ca="1">IFERROR(__xludf.DUMMYFUNCTION("""COMPUTED_VALUE"""),5)</f>
        <v>5</v>
      </c>
      <c r="H20" s="47">
        <f ca="1">IFERROR(__xludf.DUMMYFUNCTION("""COMPUTED_VALUE"""),13)</f>
        <v>13</v>
      </c>
      <c r="I20" s="47">
        <f ca="1">IFERROR(__xludf.DUMMYFUNCTION("""COMPUTED_VALUE"""),3)</f>
        <v>3</v>
      </c>
      <c r="J20" s="47"/>
      <c r="K20" s="48">
        <f t="shared" ca="1" si="0"/>
        <v>21</v>
      </c>
      <c r="L20" s="69"/>
      <c r="M20" s="48">
        <f t="shared" ca="1" si="1"/>
        <v>21</v>
      </c>
      <c r="N20" s="48">
        <v>14</v>
      </c>
      <c r="O20" s="48" t="s">
        <v>96</v>
      </c>
      <c r="P20" s="48" t="s">
        <v>109</v>
      </c>
    </row>
    <row r="21" spans="1:16" ht="12.75" x14ac:dyDescent="0.2">
      <c r="A21" s="48">
        <v>15</v>
      </c>
      <c r="B21" s="71" t="str">
        <f ca="1">IFERROR(__xludf.DUMMYFUNCTION("IMPORTRANGE(""https://docs.google.com/spreadsheets/d/16CWr8ky6L0i1S4UOLMYHizeHS6aZnIDEnQPyRJyTpcI/edit#gid=0"", ""Патриот!B70:O81"")"),"Сулаева Юлия Дмитриевна")</f>
        <v>Сулаева Юлия Дмитриевна</v>
      </c>
      <c r="C21" s="47"/>
      <c r="D21" s="73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1" s="47">
        <f ca="1">IFERROR(__xludf.DUMMYFUNCTION("""COMPUTED_VALUE"""),7)</f>
        <v>7</v>
      </c>
      <c r="F21" s="66" t="str">
        <f ca="1">IFERROR(__xludf.DUMMYFUNCTION("""COMPUTED_VALUE"""),"Языкова Светлана Александровна")</f>
        <v>Языкова Светлана Александровна</v>
      </c>
      <c r="G21" s="47">
        <f ca="1">IFERROR(__xludf.DUMMYFUNCTION("""COMPUTED_VALUE"""),5)</f>
        <v>5</v>
      </c>
      <c r="H21" s="47">
        <f ca="1">IFERROR(__xludf.DUMMYFUNCTION("""COMPUTED_VALUE"""),12)</f>
        <v>12</v>
      </c>
      <c r="I21" s="47">
        <f ca="1">IFERROR(__xludf.DUMMYFUNCTION("""COMPUTED_VALUE"""),4)</f>
        <v>4</v>
      </c>
      <c r="J21" s="47"/>
      <c r="K21" s="48">
        <f t="shared" ca="1" si="0"/>
        <v>21</v>
      </c>
      <c r="L21" s="69"/>
      <c r="M21" s="48">
        <f t="shared" ca="1" si="1"/>
        <v>21</v>
      </c>
      <c r="N21" s="48">
        <v>15</v>
      </c>
      <c r="O21" s="48" t="s">
        <v>96</v>
      </c>
      <c r="P21" s="48" t="s">
        <v>109</v>
      </c>
    </row>
    <row r="22" spans="1:16" ht="12.75" x14ac:dyDescent="0.2">
      <c r="A22" s="48">
        <v>16</v>
      </c>
      <c r="B22" s="66" t="str">
        <f ca="1">IFERROR(__xludf.DUMMYFUNCTION("""COMPUTED_VALUE"""),"Поздеев Никита Андреевич")</f>
        <v>Поздеев Никита Андреевич</v>
      </c>
      <c r="C22" s="47"/>
      <c r="D22" s="73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2" s="47">
        <f ca="1">IFERROR(__xludf.DUMMYFUNCTION("""COMPUTED_VALUE"""),7)</f>
        <v>7</v>
      </c>
      <c r="F22" s="66" t="str">
        <f ca="1">IFERROR(__xludf.DUMMYFUNCTION("""COMPUTED_VALUE"""),"Языкова Светлана Александровна")</f>
        <v>Языкова Светлана Александровна</v>
      </c>
      <c r="G22" s="47">
        <f ca="1">IFERROR(__xludf.DUMMYFUNCTION("""COMPUTED_VALUE"""),5)</f>
        <v>5</v>
      </c>
      <c r="H22" s="47">
        <f ca="1">IFERROR(__xludf.DUMMYFUNCTION("""COMPUTED_VALUE"""),13)</f>
        <v>13</v>
      </c>
      <c r="I22" s="47">
        <f ca="1">IFERROR(__xludf.DUMMYFUNCTION("""COMPUTED_VALUE"""),3)</f>
        <v>3</v>
      </c>
      <c r="J22" s="47"/>
      <c r="K22" s="48">
        <f t="shared" ca="1" si="0"/>
        <v>21</v>
      </c>
      <c r="L22" s="69"/>
      <c r="M22" s="48">
        <f t="shared" ca="1" si="1"/>
        <v>21</v>
      </c>
      <c r="N22" s="48">
        <v>16</v>
      </c>
      <c r="O22" s="48" t="s">
        <v>96</v>
      </c>
      <c r="P22" s="48" t="s">
        <v>109</v>
      </c>
    </row>
    <row r="23" spans="1:16" ht="12.75" x14ac:dyDescent="0.2">
      <c r="A23" s="48">
        <v>17</v>
      </c>
      <c r="B23" s="66" t="str">
        <f ca="1">IFERROR(__xludf.DUMMYFUNCTION("""COMPUTED_VALUE"""),"Цабан Николай Николаевич")</f>
        <v>Цабан Николай Николаевич</v>
      </c>
      <c r="C23" s="47"/>
      <c r="D23" s="73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3" s="47">
        <f ca="1">IFERROR(__xludf.DUMMYFUNCTION("""COMPUTED_VALUE"""),7)</f>
        <v>7</v>
      </c>
      <c r="F23" s="66" t="str">
        <f ca="1">IFERROR(__xludf.DUMMYFUNCTION("""COMPUTED_VALUE"""),"Языкова Светлана Александровна")</f>
        <v>Языкова Светлана Александровна</v>
      </c>
      <c r="G23" s="47">
        <f ca="1">IFERROR(__xludf.DUMMYFUNCTION("""COMPUTED_VALUE"""),5)</f>
        <v>5</v>
      </c>
      <c r="H23" s="47">
        <f ca="1">IFERROR(__xludf.DUMMYFUNCTION("""COMPUTED_VALUE"""),13)</f>
        <v>13</v>
      </c>
      <c r="I23" s="47">
        <f ca="1">IFERROR(__xludf.DUMMYFUNCTION("""COMPUTED_VALUE"""),3)</f>
        <v>3</v>
      </c>
      <c r="J23" s="47"/>
      <c r="K23" s="48">
        <f t="shared" ca="1" si="0"/>
        <v>21</v>
      </c>
      <c r="L23" s="69"/>
      <c r="M23" s="48">
        <f t="shared" ca="1" si="1"/>
        <v>21</v>
      </c>
      <c r="N23" s="48">
        <v>17</v>
      </c>
      <c r="O23" s="48" t="s">
        <v>96</v>
      </c>
      <c r="P23" s="48" t="s">
        <v>109</v>
      </c>
    </row>
    <row r="24" spans="1:16" ht="12.75" x14ac:dyDescent="0.2">
      <c r="A24" s="48">
        <v>18</v>
      </c>
      <c r="B24" s="70" t="str">
        <f ca="1">IFERROR(__xludf.DUMMYFUNCTION("""COMPUTED_VALUE"""),"Останина Ольга Вячеславовна")</f>
        <v>Останина Ольга Вячеславовна</v>
      </c>
      <c r="C24" s="48"/>
      <c r="D24" s="72" t="str">
        <f ca="1">IFERROR(__xludf.DUMMYFUNCTION("""COMPUTED_VALUE"""),"МОУ ""СОШ №9""")</f>
        <v>МОУ "СОШ №9"</v>
      </c>
      <c r="E24" s="48">
        <f ca="1">IFERROR(__xludf.DUMMYFUNCTION("""COMPUTED_VALUE"""),7)</f>
        <v>7</v>
      </c>
      <c r="F24" s="70" t="str">
        <f ca="1">IFERROR(__xludf.DUMMYFUNCTION("""COMPUTED_VALUE"""),"Литовченко Любовь Викторовна")</f>
        <v>Литовченко Любовь Викторовна</v>
      </c>
      <c r="G24" s="48">
        <f ca="1">IFERROR(__xludf.DUMMYFUNCTION("""COMPUTED_VALUE"""),5)</f>
        <v>5</v>
      </c>
      <c r="H24" s="48">
        <f ca="1">IFERROR(__xludf.DUMMYFUNCTION("""COMPUTED_VALUE"""),14)</f>
        <v>14</v>
      </c>
      <c r="I24" s="48">
        <f ca="1">IFERROR(__xludf.DUMMYFUNCTION("""COMPUTED_VALUE"""),1)</f>
        <v>1</v>
      </c>
      <c r="J24" s="48"/>
      <c r="K24" s="48">
        <f t="shared" ca="1" si="0"/>
        <v>20</v>
      </c>
      <c r="L24" s="69"/>
      <c r="M24" s="48">
        <f t="shared" ca="1" si="1"/>
        <v>20</v>
      </c>
      <c r="N24" s="48">
        <v>18</v>
      </c>
      <c r="O24" s="48" t="s">
        <v>96</v>
      </c>
      <c r="P24" s="48" t="s">
        <v>109</v>
      </c>
    </row>
    <row r="25" spans="1:16" ht="12.75" x14ac:dyDescent="0.2">
      <c r="A25" s="48">
        <v>19</v>
      </c>
      <c r="B25" s="71" t="str">
        <f ca="1">IFERROR(__xludf.DUMMYFUNCTION("IMPORTRANGE(""https://docs.google.com/spreadsheets/d/16CWr8ky6L0i1S4UOLMYHizeHS6aZnIDEnQPyRJyTpcI/edit#gid=0"", ""СОШ №24!B13:O17"")"),"Александров Виктор Александрович")</f>
        <v>Александров Виктор Александрович</v>
      </c>
      <c r="C25" s="48"/>
      <c r="D25" s="72" t="str">
        <f ca="1">IFERROR(__xludf.DUMMYFUNCTION("""COMPUTED_VALUE"""),"МОУ ""СОШ №24""")</f>
        <v>МОУ "СОШ №24"</v>
      </c>
      <c r="E25" s="48">
        <f ca="1">IFERROR(__xludf.DUMMYFUNCTION("""COMPUTED_VALUE"""),7)</f>
        <v>7</v>
      </c>
      <c r="F25" s="70" t="str">
        <f ca="1">IFERROR(__xludf.DUMMYFUNCTION("""COMPUTED_VALUE"""),"Моисеева Татьяна Владимировна")</f>
        <v>Моисеева Татьяна Владимировна</v>
      </c>
      <c r="G25" s="48">
        <f ca="1">IFERROR(__xludf.DUMMYFUNCTION("""COMPUTED_VALUE"""),4)</f>
        <v>4</v>
      </c>
      <c r="H25" s="48">
        <f ca="1">IFERROR(__xludf.DUMMYFUNCTION("""COMPUTED_VALUE"""),13)</f>
        <v>13</v>
      </c>
      <c r="I25" s="48">
        <f ca="1">IFERROR(__xludf.DUMMYFUNCTION("""COMPUTED_VALUE"""),3)</f>
        <v>3</v>
      </c>
      <c r="J25" s="48"/>
      <c r="K25" s="48">
        <f t="shared" ca="1" si="0"/>
        <v>20</v>
      </c>
      <c r="L25" s="69"/>
      <c r="M25" s="48">
        <f t="shared" ca="1" si="1"/>
        <v>20</v>
      </c>
      <c r="N25" s="48">
        <v>19</v>
      </c>
      <c r="O25" s="48" t="s">
        <v>96</v>
      </c>
      <c r="P25" s="48" t="s">
        <v>109</v>
      </c>
    </row>
    <row r="26" spans="1:16" ht="12.75" x14ac:dyDescent="0.2">
      <c r="A26" s="48">
        <v>20</v>
      </c>
      <c r="B26" s="70" t="str">
        <f ca="1">IFERROR(__xludf.DUMMYFUNCTION("""COMPUTED_VALUE"""),"Овчинников Михаил Александрович")</f>
        <v>Овчинников Михаил Александрович</v>
      </c>
      <c r="C26" s="48"/>
      <c r="D26" s="72" t="str">
        <f ca="1">IFERROR(__xludf.DUMMYFUNCTION("""COMPUTED_VALUE"""),"МОУ ""СОШ №24""")</f>
        <v>МОУ "СОШ №24"</v>
      </c>
      <c r="E26" s="48">
        <f ca="1">IFERROR(__xludf.DUMMYFUNCTION("""COMPUTED_VALUE"""),7)</f>
        <v>7</v>
      </c>
      <c r="F26" s="70" t="str">
        <f ca="1">IFERROR(__xludf.DUMMYFUNCTION("""COMPUTED_VALUE"""),"Моисеева Татьяна Владимировна")</f>
        <v>Моисеева Татьяна Владимировна</v>
      </c>
      <c r="G26" s="48">
        <f ca="1">IFERROR(__xludf.DUMMYFUNCTION("""COMPUTED_VALUE"""),4)</f>
        <v>4</v>
      </c>
      <c r="H26" s="48">
        <f ca="1">IFERROR(__xludf.DUMMYFUNCTION("""COMPUTED_VALUE"""),13)</f>
        <v>13</v>
      </c>
      <c r="I26" s="48">
        <f ca="1">IFERROR(__xludf.DUMMYFUNCTION("""COMPUTED_VALUE"""),3)</f>
        <v>3</v>
      </c>
      <c r="J26" s="48"/>
      <c r="K26" s="48">
        <f t="shared" ca="1" si="0"/>
        <v>20</v>
      </c>
      <c r="L26" s="69"/>
      <c r="M26" s="48">
        <f t="shared" ca="1" si="1"/>
        <v>20</v>
      </c>
      <c r="N26" s="48">
        <v>20</v>
      </c>
      <c r="O26" s="48" t="s">
        <v>96</v>
      </c>
      <c r="P26" s="48" t="s">
        <v>109</v>
      </c>
    </row>
    <row r="27" spans="1:16" ht="12.75" x14ac:dyDescent="0.2">
      <c r="A27" s="48">
        <v>21</v>
      </c>
      <c r="B27" s="70" t="str">
        <f ca="1">IFERROR(__xludf.DUMMYFUNCTION("""COMPUTED_VALUE"""),"Волостнов Ярослав Алексеевич")</f>
        <v>Волостнов Ярослав Алексеевич</v>
      </c>
      <c r="C27" s="48"/>
      <c r="D27" s="72" t="str">
        <f ca="1">IFERROR(__xludf.DUMMYFUNCTION("""COMPUTED_VALUE"""),"МОУ ""СОШ №33""")</f>
        <v>МОУ "СОШ №33"</v>
      </c>
      <c r="E27" s="48">
        <f ca="1">IFERROR(__xludf.DUMMYFUNCTION("""COMPUTED_VALUE"""),7)</f>
        <v>7</v>
      </c>
      <c r="F27" s="70" t="str">
        <f ca="1">IFERROR(__xludf.DUMMYFUNCTION("""COMPUTED_VALUE"""),"Власова Татьяна Станиславовна")</f>
        <v>Власова Татьяна Станиславовна</v>
      </c>
      <c r="G27" s="48">
        <f ca="1">IFERROR(__xludf.DUMMYFUNCTION("""COMPUTED_VALUE"""),4)</f>
        <v>4</v>
      </c>
      <c r="H27" s="48">
        <f ca="1">IFERROR(__xludf.DUMMYFUNCTION("""COMPUTED_VALUE"""),13)</f>
        <v>13</v>
      </c>
      <c r="I27" s="48">
        <f ca="1">IFERROR(__xludf.DUMMYFUNCTION("""COMPUTED_VALUE"""),3)</f>
        <v>3</v>
      </c>
      <c r="J27" s="48"/>
      <c r="K27" s="48">
        <f t="shared" ca="1" si="0"/>
        <v>20</v>
      </c>
      <c r="L27" s="69"/>
      <c r="M27" s="48">
        <f t="shared" ca="1" si="1"/>
        <v>20</v>
      </c>
      <c r="N27" s="48">
        <v>21</v>
      </c>
      <c r="O27" s="48" t="s">
        <v>96</v>
      </c>
      <c r="P27" s="48" t="s">
        <v>109</v>
      </c>
    </row>
    <row r="28" spans="1:16" ht="12.75" x14ac:dyDescent="0.2">
      <c r="A28" s="48">
        <v>22</v>
      </c>
      <c r="B28" s="70" t="str">
        <f ca="1">IFERROR(__xludf.DUMMYFUNCTION("""COMPUTED_VALUE"""),"Дубинина Арианна Анатольевна")</f>
        <v>Дубинина Арианна Анатольевна</v>
      </c>
      <c r="C28" s="48"/>
      <c r="D28" s="72" t="str">
        <f ca="1">IFERROR(__xludf.DUMMYFUNCTION("""COMPUTED_VALUE"""),"МОУ ""МЭЛ им. Шнитке А.Г.""")</f>
        <v>МОУ "МЭЛ им. Шнитке А.Г."</v>
      </c>
      <c r="E28" s="48">
        <f ca="1">IFERROR(__xludf.DUMMYFUNCTION("""COMPUTED_VALUE"""),7)</f>
        <v>7</v>
      </c>
      <c r="F28" s="70" t="str">
        <f ca="1">IFERROR(__xludf.DUMMYFUNCTION("""COMPUTED_VALUE"""),"Мотавкина Светлана Сергеевна")</f>
        <v>Мотавкина Светлана Сергеевна</v>
      </c>
      <c r="G28" s="48">
        <f ca="1">IFERROR(__xludf.DUMMYFUNCTION("""COMPUTED_VALUE"""),4)</f>
        <v>4</v>
      </c>
      <c r="H28" s="48">
        <f ca="1">IFERROR(__xludf.DUMMYFUNCTION("""COMPUTED_VALUE"""),13)</f>
        <v>13</v>
      </c>
      <c r="I28" s="48">
        <f ca="1">IFERROR(__xludf.DUMMYFUNCTION("""COMPUTED_VALUE"""),3)</f>
        <v>3</v>
      </c>
      <c r="J28" s="48"/>
      <c r="K28" s="48">
        <f t="shared" ca="1" si="0"/>
        <v>20</v>
      </c>
      <c r="L28" s="69"/>
      <c r="M28" s="48">
        <f t="shared" ca="1" si="1"/>
        <v>20</v>
      </c>
      <c r="N28" s="48">
        <v>22</v>
      </c>
      <c r="O28" s="48" t="s">
        <v>96</v>
      </c>
      <c r="P28" s="48" t="s">
        <v>109</v>
      </c>
    </row>
    <row r="29" spans="1:16" ht="12.75" x14ac:dyDescent="0.2">
      <c r="A29" s="48">
        <v>23</v>
      </c>
      <c r="B29" s="70" t="str">
        <f ca="1">IFERROR(__xludf.DUMMYFUNCTION("""COMPUTED_VALUE"""),"Базыма Кира Александровна")</f>
        <v>Базыма Кира Александровна</v>
      </c>
      <c r="C29" s="48"/>
      <c r="D29" s="72" t="str">
        <f ca="1">IFERROR(__xludf.DUMMYFUNCTION("""COMPUTED_VALUE"""),"МОУ ""МЭЛ им. Шнитке А.Г.""")</f>
        <v>МОУ "МЭЛ им. Шнитке А.Г."</v>
      </c>
      <c r="E29" s="48">
        <f ca="1">IFERROR(__xludf.DUMMYFUNCTION("""COMPUTED_VALUE"""),7)</f>
        <v>7</v>
      </c>
      <c r="F29" s="70" t="str">
        <f ca="1">IFERROR(__xludf.DUMMYFUNCTION("""COMPUTED_VALUE"""),"Мотавкина Светлана Сергеевна")</f>
        <v>Мотавкина Светлана Сергеевна</v>
      </c>
      <c r="G29" s="48">
        <f ca="1">IFERROR(__xludf.DUMMYFUNCTION("""COMPUTED_VALUE"""),4)</f>
        <v>4</v>
      </c>
      <c r="H29" s="48">
        <f ca="1">IFERROR(__xludf.DUMMYFUNCTION("""COMPUTED_VALUE"""),13)</f>
        <v>13</v>
      </c>
      <c r="I29" s="48">
        <f ca="1">IFERROR(__xludf.DUMMYFUNCTION("""COMPUTED_VALUE"""),3)</f>
        <v>3</v>
      </c>
      <c r="J29" s="48"/>
      <c r="K29" s="48">
        <f t="shared" ca="1" si="0"/>
        <v>20</v>
      </c>
      <c r="L29" s="69"/>
      <c r="M29" s="48">
        <f t="shared" ca="1" si="1"/>
        <v>20</v>
      </c>
      <c r="N29" s="48">
        <v>23</v>
      </c>
      <c r="O29" s="48" t="s">
        <v>96</v>
      </c>
      <c r="P29" s="48" t="s">
        <v>109</v>
      </c>
    </row>
    <row r="30" spans="1:16" ht="12.75" x14ac:dyDescent="0.2">
      <c r="A30" s="48">
        <v>24</v>
      </c>
      <c r="B30" s="66" t="str">
        <f ca="1">IFERROR(__xludf.DUMMYFUNCTION("""COMPUTED_VALUE"""),"Ситботалов Тимур Альбекович")</f>
        <v>Ситботалов Тимур Альбекович</v>
      </c>
      <c r="C30" s="47"/>
      <c r="D30" s="73" t="str">
        <f ca="1">IFERROR(__xludf.DUMMYFUNCTION("""COMPUTED_VALUE"""),"МОУ ""СОШ с. Зеленый Дол""")</f>
        <v>МОУ "СОШ с. Зеленый Дол"</v>
      </c>
      <c r="E30" s="47">
        <f ca="1">IFERROR(__xludf.DUMMYFUNCTION("""COMPUTED_VALUE"""),7)</f>
        <v>7</v>
      </c>
      <c r="F30" s="66" t="str">
        <f ca="1">IFERROR(__xludf.DUMMYFUNCTION("""COMPUTED_VALUE"""),"Абдулина Нуржамал Кайруевна")</f>
        <v>Абдулина Нуржамал Кайруевна</v>
      </c>
      <c r="G30" s="47">
        <f ca="1">IFERROR(__xludf.DUMMYFUNCTION("""COMPUTED_VALUE"""),5)</f>
        <v>5</v>
      </c>
      <c r="H30" s="47">
        <f ca="1">IFERROR(__xludf.DUMMYFUNCTION("""COMPUTED_VALUE"""),13)</f>
        <v>13</v>
      </c>
      <c r="I30" s="47">
        <f ca="1">IFERROR(__xludf.DUMMYFUNCTION("""COMPUTED_VALUE"""),2)</f>
        <v>2</v>
      </c>
      <c r="J30" s="47"/>
      <c r="K30" s="48">
        <f t="shared" ca="1" si="0"/>
        <v>20</v>
      </c>
      <c r="L30" s="69"/>
      <c r="M30" s="48">
        <f t="shared" ca="1" si="1"/>
        <v>20</v>
      </c>
      <c r="N30" s="48">
        <v>24</v>
      </c>
      <c r="O30" s="48" t="s">
        <v>96</v>
      </c>
      <c r="P30" s="48" t="s">
        <v>109</v>
      </c>
    </row>
    <row r="31" spans="1:16" ht="12.75" x14ac:dyDescent="0.2">
      <c r="A31" s="48">
        <v>25</v>
      </c>
      <c r="B31" s="66" t="str">
        <f ca="1">IFERROR(__xludf.DUMMYFUNCTION("""COMPUTED_VALUE"""),"Аксенов Роман Олегович")</f>
        <v>Аксенов Роман Олегович</v>
      </c>
      <c r="C31" s="47"/>
      <c r="D31" s="73" t="str">
        <f ca="1">IFERROR(__xludf.DUMMYFUNCTION("""COMPUTED_VALUE"""),"МОУ ""ООШ п. Прибрежный""")</f>
        <v>МОУ "ООШ п. Прибрежный"</v>
      </c>
      <c r="E31" s="47">
        <f ca="1">IFERROR(__xludf.DUMMYFUNCTION("""COMPUTED_VALUE"""),7)</f>
        <v>7</v>
      </c>
      <c r="F31" s="66" t="str">
        <f ca="1">IFERROR(__xludf.DUMMYFUNCTION("""COMPUTED_VALUE"""),"Пономарева Надежда Анатольевна")</f>
        <v>Пономарева Надежда Анатольевна</v>
      </c>
      <c r="G31" s="47">
        <f ca="1">IFERROR(__xludf.DUMMYFUNCTION("""COMPUTED_VALUE"""),5)</f>
        <v>5</v>
      </c>
      <c r="H31" s="47">
        <f ca="1">IFERROR(__xludf.DUMMYFUNCTION("""COMPUTED_VALUE"""),12)</f>
        <v>12</v>
      </c>
      <c r="I31" s="47">
        <f ca="1">IFERROR(__xludf.DUMMYFUNCTION("""COMPUTED_VALUE"""),3)</f>
        <v>3</v>
      </c>
      <c r="J31" s="47"/>
      <c r="K31" s="48">
        <f t="shared" ca="1" si="0"/>
        <v>20</v>
      </c>
      <c r="L31" s="69"/>
      <c r="M31" s="48">
        <f t="shared" ca="1" si="1"/>
        <v>20</v>
      </c>
      <c r="N31" s="48">
        <v>25</v>
      </c>
      <c r="O31" s="48" t="s">
        <v>96</v>
      </c>
      <c r="P31" s="48" t="s">
        <v>109</v>
      </c>
    </row>
    <row r="32" spans="1:16" ht="12.75" x14ac:dyDescent="0.2">
      <c r="A32" s="48">
        <v>26</v>
      </c>
      <c r="B32" s="66" t="str">
        <f ca="1">IFERROR(__xludf.DUMMYFUNCTION("""COMPUTED_VALUE"""),"Куц Дмитрий ")</f>
        <v xml:space="preserve">Куц Дмитрий </v>
      </c>
      <c r="C32" s="47"/>
      <c r="D32" s="73" t="str">
        <f ca="1">IFERROR(__xludf.DUMMYFUNCTION("""COMPUTED_VALUE"""),"МОУ ""СОШ №31""")</f>
        <v>МОУ "СОШ №31"</v>
      </c>
      <c r="E32" s="47">
        <f ca="1">IFERROR(__xludf.DUMMYFUNCTION("""COMPUTED_VALUE"""),7)</f>
        <v>7</v>
      </c>
      <c r="F32" s="66" t="str">
        <f ca="1">IFERROR(__xludf.DUMMYFUNCTION("""COMPUTED_VALUE"""),"Котлярова Евгения Владимировна")</f>
        <v>Котлярова Евгения Владимировна</v>
      </c>
      <c r="G32" s="47">
        <f ca="1">IFERROR(__xludf.DUMMYFUNCTION("""COMPUTED_VALUE"""),5)</f>
        <v>5</v>
      </c>
      <c r="H32" s="47">
        <v>13</v>
      </c>
      <c r="I32" s="47">
        <v>2</v>
      </c>
      <c r="J32" s="47"/>
      <c r="K32" s="48">
        <f t="shared" ca="1" si="0"/>
        <v>20</v>
      </c>
      <c r="L32" s="48"/>
      <c r="M32" s="48">
        <f t="shared" ca="1" si="1"/>
        <v>20</v>
      </c>
      <c r="N32" s="48">
        <v>26</v>
      </c>
      <c r="O32" s="48" t="s">
        <v>96</v>
      </c>
      <c r="P32" s="48" t="s">
        <v>109</v>
      </c>
    </row>
    <row r="33" spans="1:16" ht="12.75" x14ac:dyDescent="0.2">
      <c r="A33" s="48">
        <v>27</v>
      </c>
      <c r="B33" s="66" t="str">
        <f ca="1">IFERROR(__xludf.DUMMYFUNCTION("""COMPUTED_VALUE"""),"Попугаева Полина Алексеевна")</f>
        <v>Попугаева Полина Алексеевна</v>
      </c>
      <c r="C33" s="47"/>
      <c r="D33" s="73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3" s="47">
        <f ca="1">IFERROR(__xludf.DUMMYFUNCTION("""COMPUTED_VALUE"""),7)</f>
        <v>7</v>
      </c>
      <c r="F33" s="66" t="str">
        <f ca="1">IFERROR(__xludf.DUMMYFUNCTION("""COMPUTED_VALUE"""),"Языкова Светлана Александровна")</f>
        <v>Языкова Светлана Александровна</v>
      </c>
      <c r="G33" s="47">
        <f ca="1">IFERROR(__xludf.DUMMYFUNCTION("""COMPUTED_VALUE"""),5)</f>
        <v>5</v>
      </c>
      <c r="H33" s="47">
        <f ca="1">IFERROR(__xludf.DUMMYFUNCTION("""COMPUTED_VALUE"""),12)</f>
        <v>12</v>
      </c>
      <c r="I33" s="47">
        <f ca="1">IFERROR(__xludf.DUMMYFUNCTION("""COMPUTED_VALUE"""),3)</f>
        <v>3</v>
      </c>
      <c r="J33" s="47"/>
      <c r="K33" s="48">
        <f t="shared" ca="1" si="0"/>
        <v>20</v>
      </c>
      <c r="L33" s="69"/>
      <c r="M33" s="48">
        <f t="shared" ca="1" si="1"/>
        <v>20</v>
      </c>
      <c r="N33" s="48">
        <v>27</v>
      </c>
      <c r="O33" s="48" t="s">
        <v>96</v>
      </c>
      <c r="P33" s="48" t="s">
        <v>109</v>
      </c>
    </row>
    <row r="34" spans="1:16" ht="12.75" x14ac:dyDescent="0.2">
      <c r="A34" s="48">
        <v>28</v>
      </c>
      <c r="B34" s="70" t="str">
        <f ca="1">IFERROR(__xludf.DUMMYFUNCTION("""COMPUTED_VALUE"""),"Ктанов Ильяс Арманович")</f>
        <v>Ктанов Ильяс Арманович</v>
      </c>
      <c r="C34" s="48"/>
      <c r="D34" s="72" t="str">
        <f ca="1">IFERROR(__xludf.DUMMYFUNCTION("""COMPUTED_VALUE"""),"МОУ ""СОШ им. Ю.А. Гагарина """)</f>
        <v>МОУ "СОШ им. Ю.А. Гагарина "</v>
      </c>
      <c r="E34" s="48">
        <f ca="1">IFERROR(__xludf.DUMMYFUNCTION("""COMPUTED_VALUE"""),7)</f>
        <v>7</v>
      </c>
      <c r="F34" s="70" t="str">
        <f ca="1">IFERROR(__xludf.DUMMYFUNCTION("""COMPUTED_VALUE"""),"Мищенко Ирина Николаевна")</f>
        <v>Мищенко Ирина Николаевна</v>
      </c>
      <c r="G34" s="48">
        <f ca="1">IFERROR(__xludf.DUMMYFUNCTION("""COMPUTED_VALUE"""),5)</f>
        <v>5</v>
      </c>
      <c r="H34" s="48">
        <f ca="1">IFERROR(__xludf.DUMMYFUNCTION("""COMPUTED_VALUE"""),13)</f>
        <v>13</v>
      </c>
      <c r="I34" s="48">
        <f ca="1">IFERROR(__xludf.DUMMYFUNCTION("""COMPUTED_VALUE"""),1)</f>
        <v>1</v>
      </c>
      <c r="J34" s="48"/>
      <c r="K34" s="48">
        <f t="shared" ca="1" si="0"/>
        <v>19</v>
      </c>
      <c r="L34" s="69"/>
      <c r="M34" s="48">
        <f t="shared" ca="1" si="1"/>
        <v>19</v>
      </c>
      <c r="N34" s="48">
        <v>28</v>
      </c>
      <c r="O34" s="48" t="s">
        <v>96</v>
      </c>
      <c r="P34" s="48"/>
    </row>
    <row r="35" spans="1:16" ht="12.75" x14ac:dyDescent="0.2">
      <c r="A35" s="48">
        <v>29</v>
      </c>
      <c r="B35" s="70" t="str">
        <f ca="1">IFERROR(__xludf.DUMMYFUNCTION("""COMPUTED_VALUE"""),"Алтынбаев Хамза Рустамович")</f>
        <v>Алтынбаев Хамза Рустамович</v>
      </c>
      <c r="C35" s="48"/>
      <c r="D35" s="72" t="str">
        <f ca="1">IFERROR(__xludf.DUMMYFUNCTION("""COMPUTED_VALUE"""),"МОУ ""СОШ №24""")</f>
        <v>МОУ "СОШ №24"</v>
      </c>
      <c r="E35" s="48">
        <f ca="1">IFERROR(__xludf.DUMMYFUNCTION("""COMPUTED_VALUE"""),7)</f>
        <v>7</v>
      </c>
      <c r="F35" s="70" t="str">
        <f ca="1">IFERROR(__xludf.DUMMYFUNCTION("""COMPUTED_VALUE"""),"Моисеева Татьяна Владимировна")</f>
        <v>Моисеева Татьяна Владимировна</v>
      </c>
      <c r="G35" s="48">
        <f ca="1">IFERROR(__xludf.DUMMYFUNCTION("""COMPUTED_VALUE"""),4)</f>
        <v>4</v>
      </c>
      <c r="H35" s="48">
        <f ca="1">IFERROR(__xludf.DUMMYFUNCTION("""COMPUTED_VALUE"""),13)</f>
        <v>13</v>
      </c>
      <c r="I35" s="48">
        <f ca="1">IFERROR(__xludf.DUMMYFUNCTION("""COMPUTED_VALUE"""),2)</f>
        <v>2</v>
      </c>
      <c r="J35" s="48"/>
      <c r="K35" s="48">
        <f t="shared" ca="1" si="0"/>
        <v>19</v>
      </c>
      <c r="L35" s="69"/>
      <c r="M35" s="48">
        <f t="shared" ca="1" si="1"/>
        <v>19</v>
      </c>
      <c r="N35" s="48">
        <v>29</v>
      </c>
      <c r="O35" s="48" t="s">
        <v>96</v>
      </c>
      <c r="P35" s="48"/>
    </row>
    <row r="36" spans="1:16" ht="12.75" x14ac:dyDescent="0.2">
      <c r="A36" s="48">
        <v>30</v>
      </c>
      <c r="B36" s="70" t="str">
        <f ca="1">IFERROR(__xludf.DUMMYFUNCTION("""COMPUTED_VALUE"""),"Сорокин Николай Николаевич")</f>
        <v>Сорокин Николай Николаевич</v>
      </c>
      <c r="C36" s="48"/>
      <c r="D36" s="72" t="str">
        <f ca="1">IFERROR(__xludf.DUMMYFUNCTION("""COMPUTED_VALUE"""),"МОУ ""СОШ №33""")</f>
        <v>МОУ "СОШ №33"</v>
      </c>
      <c r="E36" s="48">
        <f ca="1">IFERROR(__xludf.DUMMYFUNCTION("""COMPUTED_VALUE"""),7)</f>
        <v>7</v>
      </c>
      <c r="F36" s="70" t="str">
        <f ca="1">IFERROR(__xludf.DUMMYFUNCTION("""COMPUTED_VALUE"""),"Власова Татьяна Станиславовна")</f>
        <v>Власова Татьяна Станиславовна</v>
      </c>
      <c r="G36" s="48">
        <f ca="1">IFERROR(__xludf.DUMMYFUNCTION("""COMPUTED_VALUE"""),3)</f>
        <v>3</v>
      </c>
      <c r="H36" s="48">
        <f ca="1">IFERROR(__xludf.DUMMYFUNCTION("""COMPUTED_VALUE"""),13)</f>
        <v>13</v>
      </c>
      <c r="I36" s="48">
        <f ca="1">IFERROR(__xludf.DUMMYFUNCTION("""COMPUTED_VALUE"""),3)</f>
        <v>3</v>
      </c>
      <c r="J36" s="48"/>
      <c r="K36" s="48">
        <f t="shared" ca="1" si="0"/>
        <v>19</v>
      </c>
      <c r="L36" s="69"/>
      <c r="M36" s="48">
        <f t="shared" ca="1" si="1"/>
        <v>19</v>
      </c>
      <c r="N36" s="48">
        <v>30</v>
      </c>
      <c r="O36" s="48" t="s">
        <v>96</v>
      </c>
      <c r="P36" s="48"/>
    </row>
    <row r="37" spans="1:16" ht="12.75" x14ac:dyDescent="0.2">
      <c r="A37" s="48">
        <v>31</v>
      </c>
      <c r="B37" s="70" t="str">
        <f ca="1">IFERROR(__xludf.DUMMYFUNCTION("""COMPUTED_VALUE"""),"Чаплыгина Любовь  Владимировна")</f>
        <v>Чаплыгина Любовь  Владимировна</v>
      </c>
      <c r="C37" s="48"/>
      <c r="D37" s="7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7" s="48">
        <f ca="1">IFERROR(__xludf.DUMMYFUNCTION("""COMPUTED_VALUE"""),7)</f>
        <v>7</v>
      </c>
      <c r="F37" s="70" t="str">
        <f ca="1">IFERROR(__xludf.DUMMYFUNCTION("""COMPUTED_VALUE"""),"Языкова Светлана Александровна")</f>
        <v>Языкова Светлана Александровна</v>
      </c>
      <c r="G37" s="48">
        <f ca="1">IFERROR(__xludf.DUMMYFUNCTION("""COMPUTED_VALUE"""),5)</f>
        <v>5</v>
      </c>
      <c r="H37" s="48">
        <f ca="1">IFERROR(__xludf.DUMMYFUNCTION("""COMPUTED_VALUE"""),10)</f>
        <v>10</v>
      </c>
      <c r="I37" s="48">
        <f ca="1">IFERROR(__xludf.DUMMYFUNCTION("""COMPUTED_VALUE"""),4)</f>
        <v>4</v>
      </c>
      <c r="J37" s="48"/>
      <c r="K37" s="48">
        <f t="shared" ca="1" si="0"/>
        <v>19</v>
      </c>
      <c r="L37" s="69"/>
      <c r="M37" s="48">
        <f t="shared" ca="1" si="1"/>
        <v>19</v>
      </c>
      <c r="N37" s="48">
        <v>31</v>
      </c>
      <c r="O37" s="48" t="s">
        <v>96</v>
      </c>
      <c r="P37" s="48"/>
    </row>
    <row r="38" spans="1:16" ht="12.75" x14ac:dyDescent="0.2">
      <c r="A38" s="48">
        <v>32</v>
      </c>
      <c r="B38" s="70" t="str">
        <f ca="1">IFERROR(__xludf.DUMMYFUNCTION("""COMPUTED_VALUE"""),"Федорова Анна Алексеевна")</f>
        <v>Федорова Анна Алексеевна</v>
      </c>
      <c r="C38" s="48"/>
      <c r="D38" s="7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8" s="48">
        <f ca="1">IFERROR(__xludf.DUMMYFUNCTION("""COMPUTED_VALUE"""),7)</f>
        <v>7</v>
      </c>
      <c r="F38" s="70" t="str">
        <f ca="1">IFERROR(__xludf.DUMMYFUNCTION("""COMPUTED_VALUE"""),"Языкова Светлана Александровна")</f>
        <v>Языкова Светлана Александровна</v>
      </c>
      <c r="G38" s="48">
        <f ca="1">IFERROR(__xludf.DUMMYFUNCTION("""COMPUTED_VALUE"""),5)</f>
        <v>5</v>
      </c>
      <c r="H38" s="48">
        <f ca="1">IFERROR(__xludf.DUMMYFUNCTION("""COMPUTED_VALUE"""),12)</f>
        <v>12</v>
      </c>
      <c r="I38" s="48">
        <f ca="1">IFERROR(__xludf.DUMMYFUNCTION("""COMPUTED_VALUE"""),2)</f>
        <v>2</v>
      </c>
      <c r="J38" s="48"/>
      <c r="K38" s="48">
        <f t="shared" ca="1" si="0"/>
        <v>19</v>
      </c>
      <c r="L38" s="69"/>
      <c r="M38" s="48">
        <f t="shared" ca="1" si="1"/>
        <v>19</v>
      </c>
      <c r="N38" s="48">
        <v>32</v>
      </c>
      <c r="O38" s="48" t="s">
        <v>96</v>
      </c>
      <c r="P38" s="48"/>
    </row>
    <row r="39" spans="1:16" ht="12.75" x14ac:dyDescent="0.2">
      <c r="A39" s="48">
        <v>33</v>
      </c>
      <c r="B39" s="71" t="str">
        <f ca="1">IFERROR(__xludf.DUMMYFUNCTION("IMPORTRANGE(""https://docs.google.com/spreadsheets/d/16CWr8ky6L0i1S4UOLMYHizeHS6aZnIDEnQPyRJyTpcI/edit#gid=0"", ""МЭЛ!B13:O17"")"),"Игнатьева Анна Леонидовна")</f>
        <v>Игнатьева Анна Леонидовна</v>
      </c>
      <c r="C39" s="48"/>
      <c r="D39" s="72" t="str">
        <f ca="1">IFERROR(__xludf.DUMMYFUNCTION("""COMPUTED_VALUE"""),"МОУ ""МЭЛ им. Шнитке А.Г.""")</f>
        <v>МОУ "МЭЛ им. Шнитке А.Г."</v>
      </c>
      <c r="E39" s="48">
        <f ca="1">IFERROR(__xludf.DUMMYFUNCTION("""COMPUTED_VALUE"""),7)</f>
        <v>7</v>
      </c>
      <c r="F39" s="70" t="str">
        <f ca="1">IFERROR(__xludf.DUMMYFUNCTION("""COMPUTED_VALUE"""),"Мотавкина Светлана Сергеевна")</f>
        <v>Мотавкина Светлана Сергеевна</v>
      </c>
      <c r="G39" s="48">
        <f ca="1">IFERROR(__xludf.DUMMYFUNCTION("""COMPUTED_VALUE"""),4)</f>
        <v>4</v>
      </c>
      <c r="H39" s="48">
        <f ca="1">IFERROR(__xludf.DUMMYFUNCTION("""COMPUTED_VALUE"""),13)</f>
        <v>13</v>
      </c>
      <c r="I39" s="48">
        <f ca="1">IFERROR(__xludf.DUMMYFUNCTION("""COMPUTED_VALUE"""),2)</f>
        <v>2</v>
      </c>
      <c r="J39" s="48"/>
      <c r="K39" s="48">
        <f t="shared" ca="1" si="0"/>
        <v>19</v>
      </c>
      <c r="L39" s="69"/>
      <c r="M39" s="48">
        <f t="shared" ca="1" si="1"/>
        <v>19</v>
      </c>
      <c r="N39" s="48">
        <v>33</v>
      </c>
      <c r="O39" s="48" t="s">
        <v>96</v>
      </c>
      <c r="P39" s="48"/>
    </row>
    <row r="40" spans="1:16" ht="12.75" x14ac:dyDescent="0.2">
      <c r="A40" s="48">
        <v>34</v>
      </c>
      <c r="B40" s="71" t="str">
        <f ca="1">IFERROR(__xludf.DUMMYFUNCTION("IMPORTRANGE(""https://docs.google.com/spreadsheets/d/16CWr8ky6L0i1S4UOLMYHizeHS6aZnIDEnQPyRJyTpcI/edit#gid=0"", ""СОШ с. Березовка!B13:O17"")"),"Калашникова Екатерина Александровна ")</f>
        <v xml:space="preserve">Калашникова Екатерина Александровна </v>
      </c>
      <c r="C40" s="47"/>
      <c r="D40" s="73" t="str">
        <f ca="1">IFERROR(__xludf.DUMMYFUNCTION("""COMPUTED_VALUE"""),"МОУ ""СОШ с. Березовка""")</f>
        <v>МОУ "СОШ с. Березовка"</v>
      </c>
      <c r="E40" s="47">
        <f ca="1">IFERROR(__xludf.DUMMYFUNCTION("""COMPUTED_VALUE"""),7)</f>
        <v>7</v>
      </c>
      <c r="F40" s="66" t="str">
        <f ca="1">IFERROR(__xludf.DUMMYFUNCTION("""COMPUTED_VALUE"""),"Турсумбек Нагима Айгалиевна")</f>
        <v>Турсумбек Нагима Айгалиевна</v>
      </c>
      <c r="G40" s="47">
        <f ca="1">IFERROR(__xludf.DUMMYFUNCTION("""COMPUTED_VALUE"""),3)</f>
        <v>3</v>
      </c>
      <c r="H40" s="47">
        <f ca="1">IFERROR(__xludf.DUMMYFUNCTION("""COMPUTED_VALUE"""),13)</f>
        <v>13</v>
      </c>
      <c r="I40" s="47">
        <f ca="1">IFERROR(__xludf.DUMMYFUNCTION("""COMPUTED_VALUE"""),3)</f>
        <v>3</v>
      </c>
      <c r="J40" s="47"/>
      <c r="K40" s="48">
        <f t="shared" ca="1" si="0"/>
        <v>19</v>
      </c>
      <c r="L40" s="69"/>
      <c r="M40" s="48">
        <f t="shared" ca="1" si="1"/>
        <v>19</v>
      </c>
      <c r="N40" s="48">
        <v>34</v>
      </c>
      <c r="O40" s="48" t="s">
        <v>96</v>
      </c>
      <c r="P40" s="48"/>
    </row>
    <row r="41" spans="1:16" ht="12.75" x14ac:dyDescent="0.2">
      <c r="A41" s="48">
        <v>35</v>
      </c>
      <c r="B41" s="71" t="str">
        <f ca="1">IFERROR(__xludf.DUMMYFUNCTION("IMPORTRANGE(""https://docs.google.com/spreadsheets/d/16CWr8ky6L0i1S4UOLMYHizeHS6aZnIDEnQPyRJyTpcI/edit#gid=0"", ""ООШ с. Ленинское!B13:O17"")"),"Коткова Анна Павловна")</f>
        <v>Коткова Анна Павловна</v>
      </c>
      <c r="C41" s="47"/>
      <c r="D41" s="73" t="str">
        <f ca="1">IFERROR(__xludf.DUMMYFUNCTION("""COMPUTED_VALUE"""),"МОУ ""ООШ с. Ленинское""")</f>
        <v>МОУ "ООШ с. Ленинское"</v>
      </c>
      <c r="E41" s="47">
        <f ca="1">IFERROR(__xludf.DUMMYFUNCTION("""COMPUTED_VALUE"""),7)</f>
        <v>7</v>
      </c>
      <c r="F41" s="66" t="str">
        <f ca="1">IFERROR(__xludf.DUMMYFUNCTION("""COMPUTED_VALUE"""),"Савиных Людмила Васильевна")</f>
        <v>Савиных Людмила Васильевна</v>
      </c>
      <c r="G41" s="47">
        <f ca="1">IFERROR(__xludf.DUMMYFUNCTION("""COMPUTED_VALUE"""),5)</f>
        <v>5</v>
      </c>
      <c r="H41" s="47">
        <v>14</v>
      </c>
      <c r="I41" s="47">
        <v>0</v>
      </c>
      <c r="J41" s="47"/>
      <c r="K41" s="48">
        <f t="shared" ca="1" si="0"/>
        <v>19</v>
      </c>
      <c r="L41" s="48"/>
      <c r="M41" s="48">
        <f t="shared" ca="1" si="1"/>
        <v>19</v>
      </c>
      <c r="N41" s="48">
        <v>35</v>
      </c>
      <c r="O41" s="48" t="s">
        <v>96</v>
      </c>
      <c r="P41" s="48"/>
    </row>
    <row r="42" spans="1:16" ht="12.75" x14ac:dyDescent="0.2">
      <c r="A42" s="48">
        <v>36</v>
      </c>
      <c r="B42" s="66" t="str">
        <f ca="1">IFERROR(__xludf.DUMMYFUNCTION("""COMPUTED_VALUE"""),"Квиндт Дмитрий Владимирович")</f>
        <v>Квиндт Дмитрий Владимирович</v>
      </c>
      <c r="C42" s="47"/>
      <c r="D42" s="73" t="str">
        <f ca="1">IFERROR(__xludf.DUMMYFUNCTION("""COMPUTED_VALUE"""),"МОУ ""ООШ с. Ленинское""")</f>
        <v>МОУ "ООШ с. Ленинское"</v>
      </c>
      <c r="E42" s="47">
        <f ca="1">IFERROR(__xludf.DUMMYFUNCTION("""COMPUTED_VALUE"""),7)</f>
        <v>7</v>
      </c>
      <c r="F42" s="66" t="str">
        <f ca="1">IFERROR(__xludf.DUMMYFUNCTION("""COMPUTED_VALUE"""),"Савиных Людмила Васильевна")</f>
        <v>Савиных Людмила Васильевна</v>
      </c>
      <c r="G42" s="47">
        <f ca="1">IFERROR(__xludf.DUMMYFUNCTION("""COMPUTED_VALUE"""),4)</f>
        <v>4</v>
      </c>
      <c r="H42" s="47">
        <v>12</v>
      </c>
      <c r="I42" s="47">
        <v>3</v>
      </c>
      <c r="J42" s="47"/>
      <c r="K42" s="48">
        <f t="shared" ca="1" si="0"/>
        <v>19</v>
      </c>
      <c r="L42" s="48"/>
      <c r="M42" s="48">
        <f t="shared" ca="1" si="1"/>
        <v>19</v>
      </c>
      <c r="N42" s="48">
        <v>36</v>
      </c>
      <c r="O42" s="48" t="s">
        <v>96</v>
      </c>
      <c r="P42" s="48"/>
    </row>
    <row r="43" spans="1:16" ht="12.75" x14ac:dyDescent="0.2">
      <c r="A43" s="48">
        <v>37</v>
      </c>
      <c r="B43" s="66" t="str">
        <f ca="1">IFERROR(__xludf.DUMMYFUNCTION("""COMPUTED_VALUE"""),"Зотова Алиса Дмитриевна")</f>
        <v>Зотова Алиса Дмитриевна</v>
      </c>
      <c r="C43" s="47"/>
      <c r="D43" s="73" t="str">
        <f ca="1">IFERROR(__xludf.DUMMYFUNCTION("""COMPUTED_VALUE"""),"МОУ ""СОШ с. Шумейка""")</f>
        <v>МОУ "СОШ с. Шумейка"</v>
      </c>
      <c r="E43" s="47">
        <f ca="1">IFERROR(__xludf.DUMMYFUNCTION("""COMPUTED_VALUE"""),7)</f>
        <v>7</v>
      </c>
      <c r="F43" s="66" t="str">
        <f ca="1">IFERROR(__xludf.DUMMYFUNCTION("""COMPUTED_VALUE"""),"Полякова Наталия Викторовна")</f>
        <v>Полякова Наталия Викторовна</v>
      </c>
      <c r="G43" s="47">
        <f ca="1">IFERROR(__xludf.DUMMYFUNCTION("""COMPUTED_VALUE"""),4)</f>
        <v>4</v>
      </c>
      <c r="H43" s="47">
        <v>13</v>
      </c>
      <c r="I43" s="47">
        <v>2</v>
      </c>
      <c r="J43" s="47"/>
      <c r="K43" s="48">
        <f t="shared" ca="1" si="0"/>
        <v>19</v>
      </c>
      <c r="L43" s="48"/>
      <c r="M43" s="48">
        <f t="shared" ca="1" si="1"/>
        <v>19</v>
      </c>
      <c r="N43" s="48">
        <v>37</v>
      </c>
      <c r="O43" s="48" t="s">
        <v>96</v>
      </c>
      <c r="P43" s="48"/>
    </row>
    <row r="44" spans="1:16" ht="12.75" x14ac:dyDescent="0.2">
      <c r="A44" s="48">
        <v>38</v>
      </c>
      <c r="B44" s="71" t="str">
        <f ca="1">IFERROR(__xludf.DUMMYFUNCTION("IMPORTRANGE(""https://docs.google.com/spreadsheets/d/16CWr8ky6L0i1S4UOLMYHizeHS6aZnIDEnQPyRJyTpcI/edit#gid=0"", ""ООШ п. Прибрежный!B13:O17"")"),"Самойлова Наталья Алексеевна")</f>
        <v>Самойлова Наталья Алексеевна</v>
      </c>
      <c r="C44" s="47"/>
      <c r="D44" s="73" t="str">
        <f ca="1">IFERROR(__xludf.DUMMYFUNCTION("""COMPUTED_VALUE"""),"МОУ ""ООШ п. Прибрежный""")</f>
        <v>МОУ "ООШ п. Прибрежный"</v>
      </c>
      <c r="E44" s="47">
        <f ca="1">IFERROR(__xludf.DUMMYFUNCTION("""COMPUTED_VALUE"""),7)</f>
        <v>7</v>
      </c>
      <c r="F44" s="66" t="str">
        <f ca="1">IFERROR(__xludf.DUMMYFUNCTION("""COMPUTED_VALUE"""),"Пономарева Надежда Анатольевна")</f>
        <v>Пономарева Надежда Анатольевна</v>
      </c>
      <c r="G44" s="47">
        <f ca="1">IFERROR(__xludf.DUMMYFUNCTION("""COMPUTED_VALUE"""),5)</f>
        <v>5</v>
      </c>
      <c r="H44" s="47">
        <f ca="1">IFERROR(__xludf.DUMMYFUNCTION("""COMPUTED_VALUE"""),12)</f>
        <v>12</v>
      </c>
      <c r="I44" s="47">
        <f ca="1">IFERROR(__xludf.DUMMYFUNCTION("""COMPUTED_VALUE"""),2)</f>
        <v>2</v>
      </c>
      <c r="J44" s="47"/>
      <c r="K44" s="48">
        <f t="shared" ca="1" si="0"/>
        <v>19</v>
      </c>
      <c r="L44" s="69"/>
      <c r="M44" s="48">
        <f t="shared" ca="1" si="1"/>
        <v>19</v>
      </c>
      <c r="N44" s="48">
        <v>38</v>
      </c>
      <c r="O44" s="48" t="s">
        <v>96</v>
      </c>
      <c r="P44" s="48"/>
    </row>
    <row r="45" spans="1:16" ht="12.75" x14ac:dyDescent="0.2">
      <c r="A45" s="48">
        <v>39</v>
      </c>
      <c r="B45" s="66" t="str">
        <f ca="1">IFERROR(__xludf.DUMMYFUNCTION("""COMPUTED_VALUE"""),"Семёнов Сергей")</f>
        <v>Семёнов Сергей</v>
      </c>
      <c r="C45" s="47"/>
      <c r="D45" s="73" t="str">
        <f ca="1">IFERROR(__xludf.DUMMYFUNCTION("""COMPUTED_VALUE"""),"МОУ ""СОШ №31""")</f>
        <v>МОУ "СОШ №31"</v>
      </c>
      <c r="E45" s="47">
        <f ca="1">IFERROR(__xludf.DUMMYFUNCTION("""COMPUTED_VALUE"""),7)</f>
        <v>7</v>
      </c>
      <c r="F45" s="66" t="str">
        <f ca="1">IFERROR(__xludf.DUMMYFUNCTION("""COMPUTED_VALUE"""),"Котлярова Евгения Владимировна")</f>
        <v>Котлярова Евгения Владимировна</v>
      </c>
      <c r="G45" s="47">
        <f ca="1">IFERROR(__xludf.DUMMYFUNCTION("""COMPUTED_VALUE"""),4)</f>
        <v>4</v>
      </c>
      <c r="H45" s="47">
        <v>11</v>
      </c>
      <c r="I45" s="47">
        <v>4</v>
      </c>
      <c r="J45" s="47"/>
      <c r="K45" s="48">
        <f t="shared" ca="1" si="0"/>
        <v>19</v>
      </c>
      <c r="L45" s="48"/>
      <c r="M45" s="48">
        <f t="shared" ca="1" si="1"/>
        <v>19</v>
      </c>
      <c r="N45" s="48">
        <v>39</v>
      </c>
      <c r="O45" s="48" t="s">
        <v>96</v>
      </c>
      <c r="P45" s="48"/>
    </row>
    <row r="46" spans="1:16" ht="12.75" x14ac:dyDescent="0.2">
      <c r="A46" s="48">
        <v>40</v>
      </c>
      <c r="B46" s="66" t="str">
        <f ca="1">IFERROR(__xludf.DUMMYFUNCTION("""COMPUTED_VALUE"""),"Землянская Ксения Евгеньевна")</f>
        <v>Землянская Ксения Евгеньевна</v>
      </c>
      <c r="C46" s="47"/>
      <c r="D46" s="73" t="str">
        <f ca="1">IFERROR(__xludf.DUMMYFUNCTION("""COMPUTED_VALUE"""),"МОУ ""СОШ ""Патриот"" с кадетскими классами""")</f>
        <v>МОУ "СОШ "Патриот" с кадетскими классами"</v>
      </c>
      <c r="E46" s="47">
        <f ca="1">IFERROR(__xludf.DUMMYFUNCTION("""COMPUTED_VALUE"""),7)</f>
        <v>7</v>
      </c>
      <c r="F46" s="66" t="str">
        <f ca="1">IFERROR(__xludf.DUMMYFUNCTION("""COMPUTED_VALUE"""),"Языкова Светлана Александровна")</f>
        <v>Языкова Светлана Александровна</v>
      </c>
      <c r="G46" s="47">
        <f ca="1">IFERROR(__xludf.DUMMYFUNCTION("""COMPUTED_VALUE"""),5)</f>
        <v>5</v>
      </c>
      <c r="H46" s="47">
        <f ca="1">IFERROR(__xludf.DUMMYFUNCTION("""COMPUTED_VALUE"""),12)</f>
        <v>12</v>
      </c>
      <c r="I46" s="47">
        <f ca="1">IFERROR(__xludf.DUMMYFUNCTION("""COMPUTED_VALUE"""),2)</f>
        <v>2</v>
      </c>
      <c r="J46" s="47"/>
      <c r="K46" s="48">
        <f t="shared" ca="1" si="0"/>
        <v>19</v>
      </c>
      <c r="L46" s="69"/>
      <c r="M46" s="48">
        <f t="shared" ca="1" si="1"/>
        <v>19</v>
      </c>
      <c r="N46" s="48">
        <v>40</v>
      </c>
      <c r="O46" s="48" t="s">
        <v>96</v>
      </c>
      <c r="P46" s="48"/>
    </row>
    <row r="47" spans="1:16" ht="12.75" x14ac:dyDescent="0.2">
      <c r="A47" s="48">
        <v>41</v>
      </c>
      <c r="B47" s="66" t="str">
        <f ca="1">IFERROR(__xludf.DUMMYFUNCTION("""COMPUTED_VALUE"""),"Столбун Кирилл Максимович")</f>
        <v>Столбун Кирилл Максимович</v>
      </c>
      <c r="C47" s="47"/>
      <c r="D47" s="73" t="str">
        <f ca="1">IFERROR(__xludf.DUMMYFUNCTION("""COMPUTED_VALUE"""),"МОУ ""СОШ ""Патриот"" с кадетскими классами""")</f>
        <v>МОУ "СОШ "Патриот" с кадетскими классами"</v>
      </c>
      <c r="E47" s="47">
        <f ca="1">IFERROR(__xludf.DUMMYFUNCTION("""COMPUTED_VALUE"""),7)</f>
        <v>7</v>
      </c>
      <c r="F47" s="66" t="str">
        <f ca="1">IFERROR(__xludf.DUMMYFUNCTION("""COMPUTED_VALUE"""),"Языкова Светлана Александровна")</f>
        <v>Языкова Светлана Александровна</v>
      </c>
      <c r="G47" s="47">
        <f ca="1">IFERROR(__xludf.DUMMYFUNCTION("""COMPUTED_VALUE"""),5)</f>
        <v>5</v>
      </c>
      <c r="H47" s="47">
        <f ca="1">IFERROR(__xludf.DUMMYFUNCTION("""COMPUTED_VALUE"""),10)</f>
        <v>10</v>
      </c>
      <c r="I47" s="47">
        <f ca="1">IFERROR(__xludf.DUMMYFUNCTION("""COMPUTED_VALUE"""),4)</f>
        <v>4</v>
      </c>
      <c r="J47" s="47"/>
      <c r="K47" s="48">
        <f t="shared" ca="1" si="0"/>
        <v>19</v>
      </c>
      <c r="L47" s="69"/>
      <c r="M47" s="48">
        <f t="shared" ca="1" si="1"/>
        <v>19</v>
      </c>
      <c r="N47" s="48">
        <v>41</v>
      </c>
      <c r="O47" s="48" t="s">
        <v>96</v>
      </c>
      <c r="P47" s="48"/>
    </row>
    <row r="48" spans="1:16" ht="12.75" x14ac:dyDescent="0.2">
      <c r="A48" s="48">
        <v>42</v>
      </c>
      <c r="B48" s="71" t="str">
        <f ca="1">IFERROR(__xludf.DUMMYFUNCTION("IMPORTRANGE(""https://docs.google.com/spreadsheets/d/16CWr8ky6L0i1S4UOLMYHizeHS6aZnIDEnQPyRJyTpcI/edit#gid=0"", ""СОШ с. Шумейка!B18:O20"")"),"Москвина Инна Денисовна ")</f>
        <v xml:space="preserve">Москвина Инна Денисовна </v>
      </c>
      <c r="C48" s="47"/>
      <c r="D48" s="73" t="str">
        <f ca="1">IFERROR(__xludf.DUMMYFUNCTION("""COMPUTED_VALUE"""),"МОУ ""СОШ с. Шумейка""")</f>
        <v>МОУ "СОШ с. Шумейка"</v>
      </c>
      <c r="E48" s="47">
        <f ca="1">IFERROR(__xludf.DUMMYFUNCTION("""COMPUTED_VALUE"""),7)</f>
        <v>7</v>
      </c>
      <c r="F48" s="66" t="str">
        <f ca="1">IFERROR(__xludf.DUMMYFUNCTION("""COMPUTED_VALUE"""),"Полякова Наталия Викторовна")</f>
        <v>Полякова Наталия Викторовна</v>
      </c>
      <c r="G48" s="47">
        <f ca="1">IFERROR(__xludf.DUMMYFUNCTION("""COMPUTED_VALUE"""),4)</f>
        <v>4</v>
      </c>
      <c r="H48" s="47">
        <v>13</v>
      </c>
      <c r="I48" s="47">
        <v>2</v>
      </c>
      <c r="J48" s="47"/>
      <c r="K48" s="48">
        <f t="shared" ca="1" si="0"/>
        <v>19</v>
      </c>
      <c r="L48" s="48"/>
      <c r="M48" s="48">
        <f t="shared" ca="1" si="1"/>
        <v>19</v>
      </c>
      <c r="N48" s="48">
        <v>42</v>
      </c>
      <c r="O48" s="48" t="s">
        <v>96</v>
      </c>
      <c r="P48" s="48"/>
    </row>
    <row r="49" spans="1:16" ht="12.75" x14ac:dyDescent="0.2">
      <c r="A49" s="48">
        <v>43</v>
      </c>
      <c r="B49" s="66" t="str">
        <f ca="1">IFERROR(__xludf.DUMMYFUNCTION("""COMPUTED_VALUE"""),"Самойлов Данила Игоревич")</f>
        <v>Самойлов Данила Игоревич</v>
      </c>
      <c r="C49" s="47"/>
      <c r="D49" s="73" t="str">
        <f ca="1">IFERROR(__xludf.DUMMYFUNCTION("""COMPUTED_VALUE"""),"МОУ ""СОШ с. Шумейка""")</f>
        <v>МОУ "СОШ с. Шумейка"</v>
      </c>
      <c r="E49" s="47">
        <f ca="1">IFERROR(__xludf.DUMMYFUNCTION("""COMPUTED_VALUE"""),7)</f>
        <v>7</v>
      </c>
      <c r="F49" s="66" t="str">
        <f ca="1">IFERROR(__xludf.DUMMYFUNCTION("""COMPUTED_VALUE"""),"Полякова Наталия Викторовна")</f>
        <v>Полякова Наталия Викторовна</v>
      </c>
      <c r="G49" s="47">
        <f ca="1">IFERROR(__xludf.DUMMYFUNCTION("""COMPUTED_VALUE"""),4)</f>
        <v>4</v>
      </c>
      <c r="H49" s="47">
        <v>13</v>
      </c>
      <c r="I49" s="47">
        <v>2</v>
      </c>
      <c r="J49" s="47"/>
      <c r="K49" s="48">
        <f t="shared" ca="1" si="0"/>
        <v>19</v>
      </c>
      <c r="L49" s="48"/>
      <c r="M49" s="48">
        <f t="shared" ca="1" si="1"/>
        <v>19</v>
      </c>
      <c r="N49" s="48">
        <v>43</v>
      </c>
      <c r="O49" s="48" t="s">
        <v>96</v>
      </c>
      <c r="P49" s="48"/>
    </row>
    <row r="50" spans="1:16" ht="12.75" x14ac:dyDescent="0.2">
      <c r="A50" s="48">
        <v>44</v>
      </c>
      <c r="B50" s="71" t="str">
        <f ca="1">IFERROR(__xludf.DUMMYFUNCTION("IMPORTRANGE(""https://docs.google.com/spreadsheets/d/16CWr8ky6L0i1S4UOLMYHizeHS6aZnIDEnQPyRJyTpcI/edit#gid=0"", ""СОШ с. Шумейка!B18:O22"")"),"Москвина Инна Денисовна ")</f>
        <v xml:space="preserve">Москвина Инна Денисовна </v>
      </c>
      <c r="C50" s="47"/>
      <c r="D50" s="73" t="str">
        <f ca="1">IFERROR(__xludf.DUMMYFUNCTION("""COMPUTED_VALUE"""),"МОУ ""СОШ с. Шумейка""")</f>
        <v>МОУ "СОШ с. Шумейка"</v>
      </c>
      <c r="E50" s="47">
        <f ca="1">IFERROR(__xludf.DUMMYFUNCTION("""COMPUTED_VALUE"""),7)</f>
        <v>7</v>
      </c>
      <c r="F50" s="66" t="str">
        <f ca="1">IFERROR(__xludf.DUMMYFUNCTION("""COMPUTED_VALUE"""),"Полякова Наталия Викторовна")</f>
        <v>Полякова Наталия Викторовна</v>
      </c>
      <c r="G50" s="47">
        <f ca="1">IFERROR(__xludf.DUMMYFUNCTION("""COMPUTED_VALUE"""),4)</f>
        <v>4</v>
      </c>
      <c r="H50" s="47">
        <v>14</v>
      </c>
      <c r="I50" s="47">
        <v>1</v>
      </c>
      <c r="J50" s="47"/>
      <c r="K50" s="48">
        <f t="shared" ca="1" si="0"/>
        <v>19</v>
      </c>
      <c r="L50" s="48"/>
      <c r="M50" s="48">
        <f t="shared" ca="1" si="1"/>
        <v>19</v>
      </c>
      <c r="N50" s="48">
        <v>44</v>
      </c>
      <c r="O50" s="48" t="s">
        <v>96</v>
      </c>
      <c r="P50" s="48"/>
    </row>
    <row r="51" spans="1:16" ht="12.75" x14ac:dyDescent="0.2">
      <c r="A51" s="48">
        <v>45</v>
      </c>
      <c r="B51" s="66" t="str">
        <f ca="1">IFERROR(__xludf.DUMMYFUNCTION("""COMPUTED_VALUE"""),"Самойлов Данила Игоревич")</f>
        <v>Самойлов Данила Игоревич</v>
      </c>
      <c r="C51" s="47"/>
      <c r="D51" s="73" t="str">
        <f ca="1">IFERROR(__xludf.DUMMYFUNCTION("""COMPUTED_VALUE"""),"МОУ ""СОШ с. Шумейка""")</f>
        <v>МОУ "СОШ с. Шумейка"</v>
      </c>
      <c r="E51" s="47">
        <f ca="1">IFERROR(__xludf.DUMMYFUNCTION("""COMPUTED_VALUE"""),7)</f>
        <v>7</v>
      </c>
      <c r="F51" s="66" t="str">
        <f ca="1">IFERROR(__xludf.DUMMYFUNCTION("""COMPUTED_VALUE"""),"Полякова Наталия Викторовна")</f>
        <v>Полякова Наталия Викторовна</v>
      </c>
      <c r="G51" s="47">
        <f ca="1">IFERROR(__xludf.DUMMYFUNCTION("""COMPUTED_VALUE"""),4)</f>
        <v>4</v>
      </c>
      <c r="H51" s="47">
        <v>14</v>
      </c>
      <c r="I51" s="47">
        <v>1</v>
      </c>
      <c r="J51" s="47"/>
      <c r="K51" s="48">
        <f t="shared" ca="1" si="0"/>
        <v>19</v>
      </c>
      <c r="L51" s="48"/>
      <c r="M51" s="48">
        <f t="shared" ca="1" si="1"/>
        <v>19</v>
      </c>
      <c r="N51" s="48">
        <v>45</v>
      </c>
      <c r="O51" s="48" t="s">
        <v>96</v>
      </c>
      <c r="P51" s="48"/>
    </row>
    <row r="52" spans="1:16" ht="12.75" x14ac:dyDescent="0.2">
      <c r="A52" s="48">
        <v>46</v>
      </c>
      <c r="B52" s="71" t="str">
        <f ca="1">IFERROR(__xludf.DUMMYFUNCTION("IMPORTRANGE(""https://docs.google.com/spreadsheets/d/16CWr8ky6L0i1S4UOLMYHizeHS6aZnIDEnQPyRJyTpcI/edit#gid=0"", ""СОШ с. Шумейка!B18:O22"")"),"Москвина Инна Денисовна ")</f>
        <v xml:space="preserve">Москвина Инна Денисовна </v>
      </c>
      <c r="C52" s="47"/>
      <c r="D52" s="73" t="str">
        <f ca="1">IFERROR(__xludf.DUMMYFUNCTION("""COMPUTED_VALUE"""),"МОУ ""СОШ с. Шумейка""")</f>
        <v>МОУ "СОШ с. Шумейка"</v>
      </c>
      <c r="E52" s="47">
        <f ca="1">IFERROR(__xludf.DUMMYFUNCTION("""COMPUTED_VALUE"""),7)</f>
        <v>7</v>
      </c>
      <c r="F52" s="66" t="str">
        <f ca="1">IFERROR(__xludf.DUMMYFUNCTION("""COMPUTED_VALUE"""),"Полякова Наталия Викторовна")</f>
        <v>Полякова Наталия Викторовна</v>
      </c>
      <c r="G52" s="47">
        <f ca="1">IFERROR(__xludf.DUMMYFUNCTION("""COMPUTED_VALUE"""),4)</f>
        <v>4</v>
      </c>
      <c r="H52" s="47">
        <v>14</v>
      </c>
      <c r="I52" s="47">
        <v>1</v>
      </c>
      <c r="J52" s="47"/>
      <c r="K52" s="47">
        <f ca="1">IFERROR(__xludf.DUMMYFUNCTION("""COMPUTED_VALUE"""),19)</f>
        <v>19</v>
      </c>
      <c r="L52" s="48"/>
      <c r="M52" s="48">
        <f t="shared" ca="1" si="1"/>
        <v>19</v>
      </c>
      <c r="N52" s="48">
        <v>46</v>
      </c>
      <c r="O52" s="48" t="s">
        <v>96</v>
      </c>
      <c r="P52" s="48"/>
    </row>
    <row r="53" spans="1:16" ht="12.75" x14ac:dyDescent="0.2">
      <c r="A53" s="48">
        <v>47</v>
      </c>
      <c r="B53" s="66" t="str">
        <f ca="1">IFERROR(__xludf.DUMMYFUNCTION("""COMPUTED_VALUE"""),"Самойлов Данила Игоревич")</f>
        <v>Самойлов Данила Игоревич</v>
      </c>
      <c r="C53" s="47"/>
      <c r="D53" s="73" t="str">
        <f ca="1">IFERROR(__xludf.DUMMYFUNCTION("""COMPUTED_VALUE"""),"МОУ ""СОШ с. Шумейка""")</f>
        <v>МОУ "СОШ с. Шумейка"</v>
      </c>
      <c r="E53" s="47">
        <f ca="1">IFERROR(__xludf.DUMMYFUNCTION("""COMPUTED_VALUE"""),7)</f>
        <v>7</v>
      </c>
      <c r="F53" s="66" t="str">
        <f ca="1">IFERROR(__xludf.DUMMYFUNCTION("""COMPUTED_VALUE"""),"Полякова Наталия Викторовна")</f>
        <v>Полякова Наталия Викторовна</v>
      </c>
      <c r="G53" s="47">
        <f ca="1">IFERROR(__xludf.DUMMYFUNCTION("""COMPUTED_VALUE"""),4)</f>
        <v>4</v>
      </c>
      <c r="H53" s="47">
        <v>14</v>
      </c>
      <c r="I53" s="47">
        <v>1</v>
      </c>
      <c r="J53" s="47"/>
      <c r="K53" s="47">
        <f ca="1">IFERROR(__xludf.DUMMYFUNCTION("""COMPUTED_VALUE"""),19)</f>
        <v>19</v>
      </c>
      <c r="L53" s="48"/>
      <c r="M53" s="48">
        <f t="shared" ca="1" si="1"/>
        <v>19</v>
      </c>
      <c r="N53" s="48">
        <v>47</v>
      </c>
      <c r="O53" s="48" t="s">
        <v>96</v>
      </c>
      <c r="P53" s="48"/>
    </row>
    <row r="54" spans="1:16" ht="12.75" x14ac:dyDescent="0.2">
      <c r="A54" s="48">
        <v>48</v>
      </c>
      <c r="B54" s="70" t="str">
        <f ca="1">IFERROR(__xludf.DUMMYFUNCTION("""COMPUTED_VALUE"""),"Мишин Александр Вадимович")</f>
        <v>Мишин Александр Вадимович</v>
      </c>
      <c r="C54" s="48"/>
      <c r="D54" s="72" t="str">
        <f ca="1">IFERROR(__xludf.DUMMYFUNCTION("""COMPUTED_VALUE"""),"МОУ ""ООШ№10""")</f>
        <v>МОУ "ООШ№10"</v>
      </c>
      <c r="E54" s="48">
        <f ca="1">IFERROR(__xludf.DUMMYFUNCTION("""COMPUTED_VALUE"""),7)</f>
        <v>7</v>
      </c>
      <c r="F54" s="70" t="str">
        <f ca="1">IFERROR(__xludf.DUMMYFUNCTION("""COMPUTED_VALUE"""),"Бузюрова Оксана Васильевна")</f>
        <v>Бузюрова Оксана Васильевна</v>
      </c>
      <c r="G54" s="48">
        <f ca="1">IFERROR(__xludf.DUMMYFUNCTION("""COMPUTED_VALUE"""),4)</f>
        <v>4</v>
      </c>
      <c r="H54" s="48">
        <f ca="1">IFERROR(__xludf.DUMMYFUNCTION("""COMPUTED_VALUE"""),13)</f>
        <v>13</v>
      </c>
      <c r="I54" s="48">
        <f ca="1">IFERROR(__xludf.DUMMYFUNCTION("""COMPUTED_VALUE"""),1)</f>
        <v>1</v>
      </c>
      <c r="J54" s="48"/>
      <c r="K54" s="48">
        <f t="shared" ref="K54:K93" ca="1" si="2">SUM(G54:I54)</f>
        <v>18</v>
      </c>
      <c r="L54" s="69"/>
      <c r="M54" s="48">
        <f t="shared" ca="1" si="1"/>
        <v>18</v>
      </c>
      <c r="N54" s="48">
        <v>48</v>
      </c>
      <c r="O54" s="48" t="s">
        <v>96</v>
      </c>
      <c r="P54" s="48"/>
    </row>
    <row r="55" spans="1:16" ht="12.75" x14ac:dyDescent="0.2">
      <c r="A55" s="48">
        <v>49</v>
      </c>
      <c r="B55" s="70" t="str">
        <f ca="1">IFERROR(__xludf.DUMMYFUNCTION("""COMPUTED_VALUE"""),"Щипцов Никита Александрович")</f>
        <v>Щипцов Никита Александрович</v>
      </c>
      <c r="C55" s="48"/>
      <c r="D55" s="72" t="str">
        <f ca="1">IFERROR(__xludf.DUMMYFUNCTION("""COMPUTED_VALUE"""),"МОУ ""ООШ№10""")</f>
        <v>МОУ "ООШ№10"</v>
      </c>
      <c r="E55" s="48">
        <f ca="1">IFERROR(__xludf.DUMMYFUNCTION("""COMPUTED_VALUE"""),7)</f>
        <v>7</v>
      </c>
      <c r="F55" s="70" t="str">
        <f ca="1">IFERROR(__xludf.DUMMYFUNCTION("""COMPUTED_VALUE"""),"Бузюрова Оксана Васильевна")</f>
        <v>Бузюрова Оксана Васильевна</v>
      </c>
      <c r="G55" s="48">
        <f ca="1">IFERROR(__xludf.DUMMYFUNCTION("""COMPUTED_VALUE"""),4)</f>
        <v>4</v>
      </c>
      <c r="H55" s="48">
        <f ca="1">IFERROR(__xludf.DUMMYFUNCTION("""COMPUTED_VALUE"""),13)</f>
        <v>13</v>
      </c>
      <c r="I55" s="48">
        <f ca="1">IFERROR(__xludf.DUMMYFUNCTION("""COMPUTED_VALUE"""),1)</f>
        <v>1</v>
      </c>
      <c r="J55" s="48"/>
      <c r="K55" s="48">
        <f t="shared" ca="1" si="2"/>
        <v>18</v>
      </c>
      <c r="L55" s="69"/>
      <c r="M55" s="48">
        <f t="shared" ca="1" si="1"/>
        <v>18</v>
      </c>
      <c r="N55" s="48">
        <v>49</v>
      </c>
      <c r="O55" s="48" t="s">
        <v>96</v>
      </c>
      <c r="P55" s="48"/>
    </row>
    <row r="56" spans="1:16" ht="12.75" x14ac:dyDescent="0.2">
      <c r="A56" s="48">
        <v>50</v>
      </c>
      <c r="B56" s="70" t="str">
        <f ca="1">IFERROR(__xludf.DUMMYFUNCTION("""COMPUTED_VALUE"""),"Щелупова ксения Владимировна")</f>
        <v>Щелупова ксения Владимировна</v>
      </c>
      <c r="C56" s="48"/>
      <c r="D56" s="72" t="str">
        <f ca="1">IFERROR(__xludf.DUMMYFUNCTION("""COMPUTED_VALUE"""),"МОУ ""СОШ им. Ю.А. Гагарина """)</f>
        <v>МОУ "СОШ им. Ю.А. Гагарина "</v>
      </c>
      <c r="E56" s="48">
        <f ca="1">IFERROR(__xludf.DUMMYFUNCTION("""COMPUTED_VALUE"""),7)</f>
        <v>7</v>
      </c>
      <c r="F56" s="70" t="str">
        <f ca="1">IFERROR(__xludf.DUMMYFUNCTION("""COMPUTED_VALUE"""),"Мищенко Ирина Николаевна")</f>
        <v>Мищенко Ирина Николаевна</v>
      </c>
      <c r="G56" s="48">
        <f ca="1">IFERROR(__xludf.DUMMYFUNCTION("""COMPUTED_VALUE"""),3)</f>
        <v>3</v>
      </c>
      <c r="H56" s="48">
        <f ca="1">IFERROR(__xludf.DUMMYFUNCTION("""COMPUTED_VALUE"""),13)</f>
        <v>13</v>
      </c>
      <c r="I56" s="48">
        <f ca="1">IFERROR(__xludf.DUMMYFUNCTION("""COMPUTED_VALUE"""),2)</f>
        <v>2</v>
      </c>
      <c r="J56" s="48"/>
      <c r="K56" s="48">
        <f t="shared" ca="1" si="2"/>
        <v>18</v>
      </c>
      <c r="L56" s="69"/>
      <c r="M56" s="48">
        <f t="shared" ca="1" si="1"/>
        <v>18</v>
      </c>
      <c r="N56" s="48">
        <v>50</v>
      </c>
      <c r="O56" s="48" t="s">
        <v>96</v>
      </c>
      <c r="P56" s="48"/>
    </row>
    <row r="57" spans="1:16" ht="12.75" x14ac:dyDescent="0.2">
      <c r="A57" s="48">
        <v>51</v>
      </c>
      <c r="B57" s="70" t="str">
        <f ca="1">IFERROR(__xludf.DUMMYFUNCTION("IMPORTRANGE(""https://docs.google.com/spreadsheets/d/16CWr8ky6L0i1S4UOLMYHizeHS6aZnIDEnQPyRJyTpcI/edit#gid=0"", ""СОШ №33!B13:O17"")"),"Страхова Ксения Александровна")</f>
        <v>Страхова Ксения Александровна</v>
      </c>
      <c r="C57" s="48"/>
      <c r="D57" s="72" t="str">
        <f ca="1">IFERROR(__xludf.DUMMYFUNCTION("""COMPUTED_VALUE"""),"МОУ ""СОШ №33""")</f>
        <v>МОУ "СОШ №33"</v>
      </c>
      <c r="E57" s="48">
        <f ca="1">IFERROR(__xludf.DUMMYFUNCTION("""COMPUTED_VALUE"""),7)</f>
        <v>7</v>
      </c>
      <c r="F57" s="70" t="str">
        <f ca="1">IFERROR(__xludf.DUMMYFUNCTION("""COMPUTED_VALUE"""),"Власова Татьяна Станиславовна")</f>
        <v>Власова Татьяна Станиславовна</v>
      </c>
      <c r="G57" s="48">
        <f ca="1">IFERROR(__xludf.DUMMYFUNCTION("""COMPUTED_VALUE"""),2)</f>
        <v>2</v>
      </c>
      <c r="H57" s="48">
        <f ca="1">IFERROR(__xludf.DUMMYFUNCTION("""COMPUTED_VALUE"""),13)</f>
        <v>13</v>
      </c>
      <c r="I57" s="48">
        <f ca="1">IFERROR(__xludf.DUMMYFUNCTION("""COMPUTED_VALUE"""),3)</f>
        <v>3</v>
      </c>
      <c r="J57" s="48"/>
      <c r="K57" s="48">
        <f t="shared" ca="1" si="2"/>
        <v>18</v>
      </c>
      <c r="L57" s="69"/>
      <c r="M57" s="48">
        <f t="shared" ca="1" si="1"/>
        <v>18</v>
      </c>
      <c r="N57" s="48">
        <v>51</v>
      </c>
      <c r="O57" s="48" t="s">
        <v>96</v>
      </c>
      <c r="P57" s="48"/>
    </row>
    <row r="58" spans="1:16" ht="12.75" x14ac:dyDescent="0.2">
      <c r="A58" s="48">
        <v>52</v>
      </c>
      <c r="B58" s="71" t="str">
        <f ca="1">IFERROR(__xludf.DUMMYFUNCTION("IMPORTRANGE(""https://docs.google.com/spreadsheets/d/16CWr8ky6L0i1S4UOLMYHizeHS6aZnIDEnQPyRJyTpcI/edit#gid=0"", ""Патриот!B13:O17"")"),"Кузнецов Павел Сергеевич")</f>
        <v>Кузнецов Павел Сергеевич</v>
      </c>
      <c r="C58" s="48"/>
      <c r="D58" s="7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58" s="48">
        <f ca="1">IFERROR(__xludf.DUMMYFUNCTION("""COMPUTED_VALUE"""),7)</f>
        <v>7</v>
      </c>
      <c r="F58" s="70" t="str">
        <f ca="1">IFERROR(__xludf.DUMMYFUNCTION("""COMPUTED_VALUE"""),"Языкова Светлана Александровна")</f>
        <v>Языкова Светлана Александровна</v>
      </c>
      <c r="G58" s="48">
        <f ca="1">IFERROR(__xludf.DUMMYFUNCTION("""COMPUTED_VALUE"""),5)</f>
        <v>5</v>
      </c>
      <c r="H58" s="48">
        <f ca="1">IFERROR(__xludf.DUMMYFUNCTION("""COMPUTED_VALUE"""),10)</f>
        <v>10</v>
      </c>
      <c r="I58" s="48">
        <f ca="1">IFERROR(__xludf.DUMMYFUNCTION("""COMPUTED_VALUE"""),3)</f>
        <v>3</v>
      </c>
      <c r="J58" s="48"/>
      <c r="K58" s="48">
        <f t="shared" ca="1" si="2"/>
        <v>18</v>
      </c>
      <c r="L58" s="69"/>
      <c r="M58" s="48">
        <f t="shared" ca="1" si="1"/>
        <v>18</v>
      </c>
      <c r="N58" s="48">
        <v>52</v>
      </c>
      <c r="O58" s="48" t="s">
        <v>96</v>
      </c>
      <c r="P58" s="48"/>
    </row>
    <row r="59" spans="1:16" ht="12.75" x14ac:dyDescent="0.2">
      <c r="A59" s="48">
        <v>53</v>
      </c>
      <c r="B59" s="70" t="str">
        <f ca="1">IFERROR(__xludf.DUMMYFUNCTION("""COMPUTED_VALUE"""),"Прокушкина Валерия Алексеевна")</f>
        <v>Прокушкина Валерия Алексеевна</v>
      </c>
      <c r="C59" s="48"/>
      <c r="D59" s="7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59" s="48">
        <f ca="1">IFERROR(__xludf.DUMMYFUNCTION("""COMPUTED_VALUE"""),7)</f>
        <v>7</v>
      </c>
      <c r="F59" s="70" t="str">
        <f ca="1">IFERROR(__xludf.DUMMYFUNCTION("""COMPUTED_VALUE"""),"Языкова Светлана Александровна")</f>
        <v>Языкова Светлана Александровна</v>
      </c>
      <c r="G59" s="48">
        <f ca="1">IFERROR(__xludf.DUMMYFUNCTION("""COMPUTED_VALUE"""),5)</f>
        <v>5</v>
      </c>
      <c r="H59" s="48">
        <f ca="1">IFERROR(__xludf.DUMMYFUNCTION("""COMPUTED_VALUE"""),10)</f>
        <v>10</v>
      </c>
      <c r="I59" s="48">
        <f ca="1">IFERROR(__xludf.DUMMYFUNCTION("""COMPUTED_VALUE"""),3)</f>
        <v>3</v>
      </c>
      <c r="J59" s="48"/>
      <c r="K59" s="48">
        <f t="shared" ca="1" si="2"/>
        <v>18</v>
      </c>
      <c r="L59" s="69"/>
      <c r="M59" s="48">
        <f t="shared" ca="1" si="1"/>
        <v>18</v>
      </c>
      <c r="N59" s="48">
        <v>53</v>
      </c>
      <c r="O59" s="48" t="s">
        <v>96</v>
      </c>
      <c r="P59" s="48"/>
    </row>
    <row r="60" spans="1:16" ht="12.75" x14ac:dyDescent="0.2">
      <c r="A60" s="48">
        <v>54</v>
      </c>
      <c r="B60" s="66" t="str">
        <f ca="1">IFERROR(__xludf.DUMMYFUNCTION("""COMPUTED_VALUE"""),"Ковалева Валерия Николаевна")</f>
        <v>Ковалева Валерия Николаевна</v>
      </c>
      <c r="C60" s="47"/>
      <c r="D60" s="73" t="str">
        <f ca="1">IFERROR(__xludf.DUMMYFUNCTION("""COMPUTED_VALUE"""),"МОУ ""СОШ с. Березовка""")</f>
        <v>МОУ "СОШ с. Березовка"</v>
      </c>
      <c r="E60" s="47">
        <f ca="1">IFERROR(__xludf.DUMMYFUNCTION("""COMPUTED_VALUE"""),7)</f>
        <v>7</v>
      </c>
      <c r="F60" s="66" t="str">
        <f ca="1">IFERROR(__xludf.DUMMYFUNCTION("""COMPUTED_VALUE"""),"Турсумбек Нагима Айгалиевна ")</f>
        <v xml:space="preserve">Турсумбек Нагима Айгалиевна </v>
      </c>
      <c r="G60" s="47">
        <f ca="1">IFERROR(__xludf.DUMMYFUNCTION("""COMPUTED_VALUE"""),3)</f>
        <v>3</v>
      </c>
      <c r="H60" s="47">
        <f ca="1">IFERROR(__xludf.DUMMYFUNCTION("""COMPUTED_VALUE"""),12)</f>
        <v>12</v>
      </c>
      <c r="I60" s="47">
        <f ca="1">IFERROR(__xludf.DUMMYFUNCTION("""COMPUTED_VALUE"""),3)</f>
        <v>3</v>
      </c>
      <c r="J60" s="47"/>
      <c r="K60" s="48">
        <f t="shared" ca="1" si="2"/>
        <v>18</v>
      </c>
      <c r="L60" s="69"/>
      <c r="M60" s="48">
        <f t="shared" ca="1" si="1"/>
        <v>18</v>
      </c>
      <c r="N60" s="48">
        <v>54</v>
      </c>
      <c r="O60" s="48" t="s">
        <v>96</v>
      </c>
      <c r="P60" s="48"/>
    </row>
    <row r="61" spans="1:16" ht="12.75" x14ac:dyDescent="0.2">
      <c r="A61" s="48">
        <v>55</v>
      </c>
      <c r="B61" s="66" t="str">
        <f ca="1">IFERROR(__xludf.DUMMYFUNCTION("""COMPUTED_VALUE"""),"Пяк Анастасия Андреевна")</f>
        <v>Пяк Анастасия Андреевна</v>
      </c>
      <c r="C61" s="47"/>
      <c r="D61" s="73" t="str">
        <f ca="1">IFERROR(__xludf.DUMMYFUNCTION("""COMPUTED_VALUE"""),"МОУ ""СОШ с. Березовка""")</f>
        <v>МОУ "СОШ с. Березовка"</v>
      </c>
      <c r="E61" s="47">
        <f ca="1">IFERROR(__xludf.DUMMYFUNCTION("""COMPUTED_VALUE"""),7)</f>
        <v>7</v>
      </c>
      <c r="F61" s="66" t="str">
        <f ca="1">IFERROR(__xludf.DUMMYFUNCTION("""COMPUTED_VALUE"""),"Турсумбек Нагима Айгалиевна ")</f>
        <v xml:space="preserve">Турсумбек Нагима Айгалиевна </v>
      </c>
      <c r="G61" s="47">
        <f ca="1">IFERROR(__xludf.DUMMYFUNCTION("""COMPUTED_VALUE"""),2)</f>
        <v>2</v>
      </c>
      <c r="H61" s="47">
        <f ca="1">IFERROR(__xludf.DUMMYFUNCTION("""COMPUTED_VALUE"""),13)</f>
        <v>13</v>
      </c>
      <c r="I61" s="47">
        <f ca="1">IFERROR(__xludf.DUMMYFUNCTION("""COMPUTED_VALUE"""),3)</f>
        <v>3</v>
      </c>
      <c r="J61" s="47"/>
      <c r="K61" s="48">
        <f t="shared" ca="1" si="2"/>
        <v>18</v>
      </c>
      <c r="L61" s="69"/>
      <c r="M61" s="48">
        <f t="shared" ca="1" si="1"/>
        <v>18</v>
      </c>
      <c r="N61" s="48">
        <v>55</v>
      </c>
      <c r="O61" s="48" t="s">
        <v>96</v>
      </c>
      <c r="P61" s="48"/>
    </row>
    <row r="62" spans="1:16" ht="12.75" x14ac:dyDescent="0.2">
      <c r="A62" s="48">
        <v>56</v>
      </c>
      <c r="B62" s="66" t="str">
        <f ca="1">IFERROR(__xludf.DUMMYFUNCTION("""COMPUTED_VALUE"""),"Краснова Полина Михайловна")</f>
        <v>Краснова Полина Михайловна</v>
      </c>
      <c r="C62" s="47"/>
      <c r="D62" s="73" t="str">
        <f ca="1">IFERROR(__xludf.DUMMYFUNCTION("""COMPUTED_VALUE"""),"МОУ ""СОШ с. Шумейка""")</f>
        <v>МОУ "СОШ с. Шумейка"</v>
      </c>
      <c r="E62" s="47">
        <f ca="1">IFERROR(__xludf.DUMMYFUNCTION("""COMPUTED_VALUE"""),7)</f>
        <v>7</v>
      </c>
      <c r="F62" s="66" t="str">
        <f ca="1">IFERROR(__xludf.DUMMYFUNCTION("""COMPUTED_VALUE"""),"Полякова Наталия Викторовна")</f>
        <v>Полякова Наталия Викторовна</v>
      </c>
      <c r="G62" s="47">
        <f ca="1">IFERROR(__xludf.DUMMYFUNCTION("""COMPUTED_VALUE"""),4)</f>
        <v>4</v>
      </c>
      <c r="H62" s="47">
        <v>13</v>
      </c>
      <c r="I62" s="47">
        <v>1</v>
      </c>
      <c r="J62" s="47"/>
      <c r="K62" s="48">
        <f t="shared" ca="1" si="2"/>
        <v>18</v>
      </c>
      <c r="L62" s="48"/>
      <c r="M62" s="48">
        <f t="shared" ca="1" si="1"/>
        <v>18</v>
      </c>
      <c r="N62" s="48">
        <v>56</v>
      </c>
      <c r="O62" s="48" t="s">
        <v>96</v>
      </c>
      <c r="P62" s="48"/>
    </row>
    <row r="63" spans="1:16" ht="12.75" x14ac:dyDescent="0.2">
      <c r="A63" s="48">
        <v>57</v>
      </c>
      <c r="B63" s="71" t="str">
        <f ca="1">IFERROR(__xludf.DUMMYFUNCTION("IMPORTRANGE(""https://docs.google.com/spreadsheets/d/16CWr8ky6L0i1S4UOLMYHizeHS6aZnIDEnQPyRJyTpcI/edit#gid=0"", ""СОШ №31!B43:O47"")"),"Такшаитова Дарина Дамировна")</f>
        <v>Такшаитова Дарина Дамировна</v>
      </c>
      <c r="C63" s="47"/>
      <c r="D63" s="73" t="str">
        <f ca="1">IFERROR(__xludf.DUMMYFUNCTION("""COMPUTED_VALUE"""),"МОУ ""СОШ №31""")</f>
        <v>МОУ "СОШ №31"</v>
      </c>
      <c r="E63" s="47">
        <f ca="1">IFERROR(__xludf.DUMMYFUNCTION("""COMPUTED_VALUE"""),7)</f>
        <v>7</v>
      </c>
      <c r="F63" s="66" t="str">
        <f ca="1">IFERROR(__xludf.DUMMYFUNCTION("""COMPUTED_VALUE"""),"Котлярова Евгения Владимировна")</f>
        <v>Котлярова Евгения Владимировна</v>
      </c>
      <c r="G63" s="47">
        <f ca="1">IFERROR(__xludf.DUMMYFUNCTION("""COMPUTED_VALUE"""),5)</f>
        <v>5</v>
      </c>
      <c r="H63" s="47">
        <v>8</v>
      </c>
      <c r="I63" s="47">
        <v>5</v>
      </c>
      <c r="J63" s="47"/>
      <c r="K63" s="48">
        <f t="shared" ca="1" si="2"/>
        <v>18</v>
      </c>
      <c r="L63" s="48"/>
      <c r="M63" s="48">
        <f t="shared" ca="1" si="1"/>
        <v>18</v>
      </c>
      <c r="N63" s="48">
        <v>57</v>
      </c>
      <c r="O63" s="48" t="s">
        <v>96</v>
      </c>
      <c r="P63" s="48"/>
    </row>
    <row r="64" spans="1:16" ht="12.75" x14ac:dyDescent="0.2">
      <c r="A64" s="48">
        <v>58</v>
      </c>
      <c r="B64" s="66" t="str">
        <f ca="1">IFERROR(__xludf.DUMMYFUNCTION("""COMPUTED_VALUE"""),"Джиганшин Мансур")</f>
        <v>Джиганшин Мансур</v>
      </c>
      <c r="C64" s="47"/>
      <c r="D64" s="73" t="str">
        <f ca="1">IFERROR(__xludf.DUMMYFUNCTION("""COMPUTED_VALUE"""),"МОУ ""СОШ №31""")</f>
        <v>МОУ "СОШ №31"</v>
      </c>
      <c r="E64" s="47">
        <f ca="1">IFERROR(__xludf.DUMMYFUNCTION("""COMPUTED_VALUE"""),7)</f>
        <v>7</v>
      </c>
      <c r="F64" s="66" t="str">
        <f ca="1">IFERROR(__xludf.DUMMYFUNCTION("""COMPUTED_VALUE"""),"Котлярова Евгения Владимировна")</f>
        <v>Котлярова Евгения Владимировна</v>
      </c>
      <c r="G64" s="47">
        <f ca="1">IFERROR(__xludf.DUMMYFUNCTION("""COMPUTED_VALUE"""),4)</f>
        <v>4</v>
      </c>
      <c r="H64" s="47">
        <v>14</v>
      </c>
      <c r="I64" s="47">
        <v>0</v>
      </c>
      <c r="J64" s="47"/>
      <c r="K64" s="48">
        <f t="shared" ca="1" si="2"/>
        <v>18</v>
      </c>
      <c r="L64" s="48"/>
      <c r="M64" s="48">
        <f t="shared" ca="1" si="1"/>
        <v>18</v>
      </c>
      <c r="N64" s="48">
        <v>58</v>
      </c>
      <c r="O64" s="48" t="s">
        <v>96</v>
      </c>
      <c r="P64" s="48"/>
    </row>
    <row r="65" spans="1:16" ht="12.75" x14ac:dyDescent="0.2">
      <c r="A65" s="48">
        <v>59</v>
      </c>
      <c r="B65" s="66" t="str">
        <f ca="1">IFERROR(__xludf.DUMMYFUNCTION("""COMPUTED_VALUE"""),"Семёнова Анастасия")</f>
        <v>Семёнова Анастасия</v>
      </c>
      <c r="C65" s="47"/>
      <c r="D65" s="73" t="str">
        <f ca="1">IFERROR(__xludf.DUMMYFUNCTION("""COMPUTED_VALUE"""),"МОУ ""СОШ №31""")</f>
        <v>МОУ "СОШ №31"</v>
      </c>
      <c r="E65" s="47">
        <f ca="1">IFERROR(__xludf.DUMMYFUNCTION("""COMPUTED_VALUE"""),7)</f>
        <v>7</v>
      </c>
      <c r="F65" s="66" t="str">
        <f ca="1">IFERROR(__xludf.DUMMYFUNCTION("""COMPUTED_VALUE"""),"Котлярова Евгения Владимировна")</f>
        <v>Котлярова Евгения Владимировна</v>
      </c>
      <c r="G65" s="47">
        <f ca="1">IFERROR(__xludf.DUMMYFUNCTION("""COMPUTED_VALUE"""),3)</f>
        <v>3</v>
      </c>
      <c r="H65" s="47">
        <v>13</v>
      </c>
      <c r="I65" s="47">
        <v>2</v>
      </c>
      <c r="J65" s="47"/>
      <c r="K65" s="48">
        <f t="shared" ca="1" si="2"/>
        <v>18</v>
      </c>
      <c r="L65" s="48"/>
      <c r="M65" s="48">
        <f t="shared" ca="1" si="1"/>
        <v>18</v>
      </c>
      <c r="N65" s="48">
        <v>59</v>
      </c>
      <c r="O65" s="48" t="s">
        <v>96</v>
      </c>
      <c r="P65" s="48"/>
    </row>
    <row r="66" spans="1:16" ht="12.75" x14ac:dyDescent="0.2">
      <c r="A66" s="48">
        <v>60</v>
      </c>
      <c r="B66" s="71" t="str">
        <f ca="1">IFERROR(__xludf.DUMMYFUNCTION("IMPORTRANGE(""https://docs.google.com/spreadsheets/d/16CWr8ky6L0i1S4UOLMYHizeHS6aZnIDEnQPyRJyTpcI/edit#gid=0"", ""СОШ №33!B43:O46"")"),"Лещенко Василий Павлович")</f>
        <v>Лещенко Василий Павлович</v>
      </c>
      <c r="C66" s="47"/>
      <c r="D66" s="73" t="str">
        <f ca="1">IFERROR(__xludf.DUMMYFUNCTION("""COMPUTED_VALUE"""),"МОУ ""СОШ №33""")</f>
        <v>МОУ "СОШ №33"</v>
      </c>
      <c r="E66" s="47">
        <f ca="1">IFERROR(__xludf.DUMMYFUNCTION("""COMPUTED_VALUE"""),7)</f>
        <v>7</v>
      </c>
      <c r="F66" s="66" t="str">
        <f ca="1">IFERROR(__xludf.DUMMYFUNCTION("""COMPUTED_VALUE"""),"Власова Татьяна Станиславовна")</f>
        <v>Власова Татьяна Станиславовна</v>
      </c>
      <c r="G66" s="47">
        <f ca="1">IFERROR(__xludf.DUMMYFUNCTION("""COMPUTED_VALUE"""),3)</f>
        <v>3</v>
      </c>
      <c r="H66" s="47">
        <f ca="1">IFERROR(__xludf.DUMMYFUNCTION("""COMPUTED_VALUE"""),13)</f>
        <v>13</v>
      </c>
      <c r="I66" s="47">
        <f ca="1">IFERROR(__xludf.DUMMYFUNCTION("""COMPUTED_VALUE"""),2)</f>
        <v>2</v>
      </c>
      <c r="J66" s="47"/>
      <c r="K66" s="48">
        <f t="shared" ca="1" si="2"/>
        <v>18</v>
      </c>
      <c r="L66" s="69"/>
      <c r="M66" s="48">
        <f t="shared" ca="1" si="1"/>
        <v>18</v>
      </c>
      <c r="N66" s="48">
        <v>60</v>
      </c>
      <c r="O66" s="48" t="s">
        <v>96</v>
      </c>
      <c r="P66" s="48"/>
    </row>
    <row r="67" spans="1:16" ht="12.75" x14ac:dyDescent="0.2">
      <c r="A67" s="48">
        <v>61</v>
      </c>
      <c r="B67" s="66" t="str">
        <f ca="1">IFERROR(__xludf.DUMMYFUNCTION("""COMPUTED_VALUE"""),"Полетаев Матвей Александрович")</f>
        <v>Полетаев Матвей Александрович</v>
      </c>
      <c r="C67" s="47"/>
      <c r="D67" s="73" t="str">
        <f ca="1">IFERROR(__xludf.DUMMYFUNCTION("""COMPUTED_VALUE"""),"МОУ ""СОШ №33""")</f>
        <v>МОУ "СОШ №33"</v>
      </c>
      <c r="E67" s="47">
        <f ca="1">IFERROR(__xludf.DUMMYFUNCTION("""COMPUTED_VALUE"""),7)</f>
        <v>7</v>
      </c>
      <c r="F67" s="66" t="str">
        <f ca="1">IFERROR(__xludf.DUMMYFUNCTION("""COMPUTED_VALUE"""),"Сибряева Надежда Васильевна")</f>
        <v>Сибряева Надежда Васильевна</v>
      </c>
      <c r="G67" s="47">
        <f ca="1">IFERROR(__xludf.DUMMYFUNCTION("""COMPUTED_VALUE"""),3)</f>
        <v>3</v>
      </c>
      <c r="H67" s="47">
        <f ca="1">IFERROR(__xludf.DUMMYFUNCTION("""COMPUTED_VALUE"""),12)</f>
        <v>12</v>
      </c>
      <c r="I67" s="47">
        <f ca="1">IFERROR(__xludf.DUMMYFUNCTION("""COMPUTED_VALUE"""),3)</f>
        <v>3</v>
      </c>
      <c r="J67" s="47"/>
      <c r="K67" s="48">
        <f t="shared" ca="1" si="2"/>
        <v>18</v>
      </c>
      <c r="L67" s="69"/>
      <c r="M67" s="48">
        <f t="shared" ca="1" si="1"/>
        <v>18</v>
      </c>
      <c r="N67" s="48">
        <v>61</v>
      </c>
      <c r="O67" s="48" t="s">
        <v>96</v>
      </c>
      <c r="P67" s="48"/>
    </row>
    <row r="68" spans="1:16" ht="12.75" x14ac:dyDescent="0.2">
      <c r="A68" s="48">
        <v>62</v>
      </c>
      <c r="B68" s="71" t="str">
        <f ca="1">IFERROR(__xludf.DUMMYFUNCTION("IMPORTRANGE(""https://docs.google.com/spreadsheets/d/16CWr8ky6L0i1S4UOLMYHizeHS6aZnIDEnQPyRJyTpcI/edit#gid=0"", ""СОШ №9!B13:O17"")"),"Лукин Данила Евгеньевич")</f>
        <v>Лукин Данила Евгеньевич</v>
      </c>
      <c r="C68" s="48"/>
      <c r="D68" s="72" t="str">
        <f ca="1">IFERROR(__xludf.DUMMYFUNCTION("""COMPUTED_VALUE"""),"МОУ ""СОШ №9""")</f>
        <v>МОУ "СОШ №9"</v>
      </c>
      <c r="E68" s="48">
        <f ca="1">IFERROR(__xludf.DUMMYFUNCTION("""COMPUTED_VALUE"""),7)</f>
        <v>7</v>
      </c>
      <c r="F68" s="70" t="str">
        <f ca="1">IFERROR(__xludf.DUMMYFUNCTION("""COMPUTED_VALUE"""),"Литовченко Любовь Викторовна")</f>
        <v>Литовченко Любовь Викторовна</v>
      </c>
      <c r="G68" s="48">
        <f ca="1">IFERROR(__xludf.DUMMYFUNCTION("""COMPUTED_VALUE"""),4)</f>
        <v>4</v>
      </c>
      <c r="H68" s="48">
        <f ca="1">IFERROR(__xludf.DUMMYFUNCTION("""COMPUTED_VALUE"""),13)</f>
        <v>13</v>
      </c>
      <c r="I68" s="48">
        <f ca="1">IFERROR(__xludf.DUMMYFUNCTION("""COMPUTED_VALUE"""),0)</f>
        <v>0</v>
      </c>
      <c r="J68" s="48"/>
      <c r="K68" s="48">
        <f t="shared" ca="1" si="2"/>
        <v>17</v>
      </c>
      <c r="L68" s="69"/>
      <c r="M68" s="48">
        <f t="shared" ca="1" si="1"/>
        <v>17</v>
      </c>
      <c r="N68" s="48">
        <v>62</v>
      </c>
      <c r="O68" s="48" t="s">
        <v>83</v>
      </c>
      <c r="P68" s="48"/>
    </row>
    <row r="69" spans="1:16" ht="12.75" x14ac:dyDescent="0.2">
      <c r="A69" s="48">
        <v>63</v>
      </c>
      <c r="B69" s="70" t="str">
        <f ca="1">IFERROR(__xludf.DUMMYFUNCTION("""COMPUTED_VALUE"""),"Алиева Марьям Айдыновна")</f>
        <v>Алиева Марьям Айдыновна</v>
      </c>
      <c r="C69" s="48"/>
      <c r="D69" s="72" t="str">
        <f ca="1">IFERROR(__xludf.DUMMYFUNCTION("""COMPUTED_VALUE"""),"МОУ ""ООШ№10""")</f>
        <v>МОУ "ООШ№10"</v>
      </c>
      <c r="E69" s="48">
        <f ca="1">IFERROR(__xludf.DUMMYFUNCTION("""COMPUTED_VALUE"""),7)</f>
        <v>7</v>
      </c>
      <c r="F69" s="70" t="str">
        <f ca="1">IFERROR(__xludf.DUMMYFUNCTION("""COMPUTED_VALUE"""),"Бузюрова Оксана Васильевна")</f>
        <v>Бузюрова Оксана Васильевна</v>
      </c>
      <c r="G69" s="48">
        <f ca="1">IFERROR(__xludf.DUMMYFUNCTION("""COMPUTED_VALUE"""),5)</f>
        <v>5</v>
      </c>
      <c r="H69" s="48">
        <f ca="1">IFERROR(__xludf.DUMMYFUNCTION("""COMPUTED_VALUE"""),12)</f>
        <v>12</v>
      </c>
      <c r="I69" s="48">
        <f ca="1">IFERROR(__xludf.DUMMYFUNCTION("""COMPUTED_VALUE"""),0)</f>
        <v>0</v>
      </c>
      <c r="J69" s="48"/>
      <c r="K69" s="48">
        <f t="shared" ca="1" si="2"/>
        <v>17</v>
      </c>
      <c r="L69" s="69"/>
      <c r="M69" s="48">
        <f t="shared" ca="1" si="1"/>
        <v>17</v>
      </c>
      <c r="N69" s="48">
        <v>63</v>
      </c>
      <c r="O69" s="48" t="s">
        <v>83</v>
      </c>
      <c r="P69" s="48"/>
    </row>
    <row r="70" spans="1:16" ht="12.75" x14ac:dyDescent="0.2">
      <c r="A70" s="48">
        <v>64</v>
      </c>
      <c r="B70" s="71" t="str">
        <f ca="1">IFERROR(__xludf.DUMMYFUNCTION("IMPORTRANGE(""https://docs.google.com/spreadsheets/d/16CWr8ky6L0i1S4UOLMYHizeHS6aZnIDEnQPyRJyTpcI/edit#gid=0"", ""Нов. век!B13:O17"")"),"Пилягин Даниил Александрович")</f>
        <v>Пилягин Даниил Александрович</v>
      </c>
      <c r="C70" s="48"/>
      <c r="D70" s="72" t="str">
        <f ca="1">IFERROR(__xludf.DUMMYFUNCTION("""COMPUTED_VALUE"""),"МОУ ""СОШ им. Ю.А. Гагарина """)</f>
        <v>МОУ "СОШ им. Ю.А. Гагарина "</v>
      </c>
      <c r="E70" s="48">
        <f ca="1">IFERROR(__xludf.DUMMYFUNCTION("""COMPUTED_VALUE"""),7)</f>
        <v>7</v>
      </c>
      <c r="F70" s="70" t="str">
        <f ca="1">IFERROR(__xludf.DUMMYFUNCTION("""COMPUTED_VALUE"""),"Мищенко Ирина Николаевна")</f>
        <v>Мищенко Ирина Николаевна</v>
      </c>
      <c r="G70" s="48">
        <f ca="1">IFERROR(__xludf.DUMMYFUNCTION("""COMPUTED_VALUE"""),3)</f>
        <v>3</v>
      </c>
      <c r="H70" s="48">
        <f ca="1">IFERROR(__xludf.DUMMYFUNCTION("""COMPUTED_VALUE"""),11)</f>
        <v>11</v>
      </c>
      <c r="I70" s="48">
        <f ca="1">IFERROR(__xludf.DUMMYFUNCTION("""COMPUTED_VALUE"""),3)</f>
        <v>3</v>
      </c>
      <c r="J70" s="48"/>
      <c r="K70" s="48">
        <f t="shared" ca="1" si="2"/>
        <v>17</v>
      </c>
      <c r="L70" s="69"/>
      <c r="M70" s="48">
        <f t="shared" ca="1" si="1"/>
        <v>17</v>
      </c>
      <c r="N70" s="48">
        <v>64</v>
      </c>
      <c r="O70" s="48" t="s">
        <v>83</v>
      </c>
      <c r="P70" s="48"/>
    </row>
    <row r="71" spans="1:16" ht="12.75" x14ac:dyDescent="0.2">
      <c r="A71" s="48">
        <v>65</v>
      </c>
      <c r="B71" s="70" t="str">
        <f ca="1">IFERROR(__xludf.DUMMYFUNCTION("""COMPUTED_VALUE"""),"Смирнов Илья Евгеньевич")</f>
        <v>Смирнов Илья Евгеньевич</v>
      </c>
      <c r="C71" s="48"/>
      <c r="D71" s="72" t="str">
        <f ca="1">IFERROR(__xludf.DUMMYFUNCTION("""COMPUTED_VALUE"""),"МОУ ""СОШ им. Ю.А. Гагарина """)</f>
        <v>МОУ "СОШ им. Ю.А. Гагарина "</v>
      </c>
      <c r="E71" s="48">
        <f ca="1">IFERROR(__xludf.DUMMYFUNCTION("""COMPUTED_VALUE"""),7)</f>
        <v>7</v>
      </c>
      <c r="F71" s="70" t="str">
        <f ca="1">IFERROR(__xludf.DUMMYFUNCTION("""COMPUTED_VALUE"""),"Мищенко Ирина Николаевна")</f>
        <v>Мищенко Ирина Николаевна</v>
      </c>
      <c r="G71" s="48">
        <f ca="1">IFERROR(__xludf.DUMMYFUNCTION("""COMPUTED_VALUE"""),3)</f>
        <v>3</v>
      </c>
      <c r="H71" s="48">
        <f ca="1">IFERROR(__xludf.DUMMYFUNCTION("""COMPUTED_VALUE"""),12)</f>
        <v>12</v>
      </c>
      <c r="I71" s="48">
        <f ca="1">IFERROR(__xludf.DUMMYFUNCTION("""COMPUTED_VALUE"""),2)</f>
        <v>2</v>
      </c>
      <c r="J71" s="48"/>
      <c r="K71" s="48">
        <f t="shared" ca="1" si="2"/>
        <v>17</v>
      </c>
      <c r="L71" s="69"/>
      <c r="M71" s="48">
        <f t="shared" ca="1" si="1"/>
        <v>17</v>
      </c>
      <c r="N71" s="48">
        <v>65</v>
      </c>
      <c r="O71" s="48" t="s">
        <v>83</v>
      </c>
      <c r="P71" s="48"/>
    </row>
    <row r="72" spans="1:16" ht="12.75" x14ac:dyDescent="0.2">
      <c r="A72" s="48">
        <v>66</v>
      </c>
      <c r="B72" s="70" t="str">
        <f ca="1">IFERROR(__xludf.DUMMYFUNCTION("""COMPUTED_VALUE"""),"Коротков Илья Алексеевич")</f>
        <v>Коротков Илья Алексеевич</v>
      </c>
      <c r="C72" s="48"/>
      <c r="D72" s="72" t="str">
        <f ca="1">IFERROR(__xludf.DUMMYFUNCTION("""COMPUTED_VALUE"""),"МОУ ""МЭЛ им. Шнитке А.Г.""")</f>
        <v>МОУ "МЭЛ им. Шнитке А.Г."</v>
      </c>
      <c r="E72" s="48">
        <f ca="1">IFERROR(__xludf.DUMMYFUNCTION("""COMPUTED_VALUE"""),7)</f>
        <v>7</v>
      </c>
      <c r="F72" s="70" t="str">
        <f ca="1">IFERROR(__xludf.DUMMYFUNCTION("""COMPUTED_VALUE"""),"Мотавкина Светлана Сергеевна")</f>
        <v>Мотавкина Светлана Сергеевна</v>
      </c>
      <c r="G72" s="48">
        <f ca="1">IFERROR(__xludf.DUMMYFUNCTION("""COMPUTED_VALUE"""),3)</f>
        <v>3</v>
      </c>
      <c r="H72" s="48">
        <f ca="1">IFERROR(__xludf.DUMMYFUNCTION("""COMPUTED_VALUE"""),13)</f>
        <v>13</v>
      </c>
      <c r="I72" s="48">
        <f ca="1">IFERROR(__xludf.DUMMYFUNCTION("""COMPUTED_VALUE"""),1)</f>
        <v>1</v>
      </c>
      <c r="J72" s="48"/>
      <c r="K72" s="48">
        <f t="shared" ca="1" si="2"/>
        <v>17</v>
      </c>
      <c r="L72" s="69"/>
      <c r="M72" s="48">
        <f t="shared" ref="M72:M95" ca="1" si="3">K72</f>
        <v>17</v>
      </c>
      <c r="N72" s="48">
        <v>66</v>
      </c>
      <c r="O72" s="48" t="s">
        <v>83</v>
      </c>
      <c r="P72" s="48"/>
    </row>
    <row r="73" spans="1:16" ht="12.75" x14ac:dyDescent="0.2">
      <c r="A73" s="48">
        <v>67</v>
      </c>
      <c r="B73" s="66" t="str">
        <f ca="1">IFERROR(__xludf.DUMMYFUNCTION("""COMPUTED_VALUE"""),"Кокорина Марья Дмитриевна")</f>
        <v>Кокорина Марья Дмитриевна</v>
      </c>
      <c r="C73" s="47"/>
      <c r="D73" s="73" t="str">
        <f ca="1">IFERROR(__xludf.DUMMYFUNCTION("""COMPUTED_VALUE"""),"МОУ ""СОШ с. Березовка""")</f>
        <v>МОУ "СОШ с. Березовка"</v>
      </c>
      <c r="E73" s="47">
        <f ca="1">IFERROR(__xludf.DUMMYFUNCTION("""COMPUTED_VALUE"""),7)</f>
        <v>7</v>
      </c>
      <c r="F73" s="66" t="str">
        <f ca="1">IFERROR(__xludf.DUMMYFUNCTION("""COMPUTED_VALUE"""),"Турсумбек Нагима Айгалиевна ")</f>
        <v xml:space="preserve">Турсумбек Нагима Айгалиевна </v>
      </c>
      <c r="G73" s="47">
        <f ca="1">IFERROR(__xludf.DUMMYFUNCTION("""COMPUTED_VALUE"""),2)</f>
        <v>2</v>
      </c>
      <c r="H73" s="47">
        <f ca="1">IFERROR(__xludf.DUMMYFUNCTION("""COMPUTED_VALUE"""),13)</f>
        <v>13</v>
      </c>
      <c r="I73" s="47">
        <f ca="1">IFERROR(__xludf.DUMMYFUNCTION("""COMPUTED_VALUE"""),2)</f>
        <v>2</v>
      </c>
      <c r="J73" s="47"/>
      <c r="K73" s="48">
        <f t="shared" ca="1" si="2"/>
        <v>17</v>
      </c>
      <c r="L73" s="69"/>
      <c r="M73" s="48">
        <f t="shared" ca="1" si="3"/>
        <v>17</v>
      </c>
      <c r="N73" s="48">
        <v>67</v>
      </c>
      <c r="O73" s="48" t="s">
        <v>83</v>
      </c>
      <c r="P73" s="48"/>
    </row>
    <row r="74" spans="1:16" ht="12.75" x14ac:dyDescent="0.2">
      <c r="A74" s="48">
        <v>68</v>
      </c>
      <c r="B74" s="66" t="str">
        <f ca="1">IFERROR(__xludf.DUMMYFUNCTION("""COMPUTED_VALUE"""),"Утешев Эльдар Русланович")</f>
        <v>Утешев Эльдар Русланович</v>
      </c>
      <c r="C74" s="47"/>
      <c r="D74" s="73" t="str">
        <f ca="1">IFERROR(__xludf.DUMMYFUNCTION("""COMPUTED_VALUE"""),"МОУ ""СОШ п. Придорожный""")</f>
        <v>МОУ "СОШ п. Придорожный"</v>
      </c>
      <c r="E74" s="47">
        <f ca="1">IFERROR(__xludf.DUMMYFUNCTION("""COMPUTED_VALUE"""),7)</f>
        <v>7</v>
      </c>
      <c r="F74" s="66" t="str">
        <f ca="1">IFERROR(__xludf.DUMMYFUNCTION("""COMPUTED_VALUE"""),"Демешко Екатерина Валерьевна")</f>
        <v>Демешко Екатерина Валерьевна</v>
      </c>
      <c r="G74" s="47">
        <f ca="1">IFERROR(__xludf.DUMMYFUNCTION("""COMPUTED_VALUE"""),3)</f>
        <v>3</v>
      </c>
      <c r="H74" s="47">
        <v>13</v>
      </c>
      <c r="I74" s="47">
        <v>1</v>
      </c>
      <c r="J74" s="47"/>
      <c r="K74" s="48">
        <f t="shared" ca="1" si="2"/>
        <v>17</v>
      </c>
      <c r="L74" s="48"/>
      <c r="M74" s="48">
        <f t="shared" ca="1" si="3"/>
        <v>17</v>
      </c>
      <c r="N74" s="48">
        <v>68</v>
      </c>
      <c r="O74" s="48" t="s">
        <v>83</v>
      </c>
      <c r="P74" s="48"/>
    </row>
    <row r="75" spans="1:16" ht="12.75" x14ac:dyDescent="0.2">
      <c r="A75" s="48">
        <v>69</v>
      </c>
      <c r="B75" s="71" t="str">
        <f ca="1">IFERROR(__xludf.DUMMYFUNCTION("IMPORTRANGE(""https://docs.google.com/spreadsheets/d/16CWr8ky6L0i1S4UOLMYHizeHS6aZnIDEnQPyRJyTpcI/edit#gid=0"", ""СОШ п. им. К.Маркса!B34:O36"")"),"Бычков Тимур Рамильевич")</f>
        <v>Бычков Тимур Рамильевич</v>
      </c>
      <c r="C75" s="47"/>
      <c r="D75" s="73" t="str">
        <f ca="1">IFERROR(__xludf.DUMMYFUNCTION("""COMPUTED_VALUE"""),"МОУ ""СОШ п. им. К. Маркса""")</f>
        <v>МОУ "СОШ п. им. К. Маркса"</v>
      </c>
      <c r="E75" s="47">
        <f ca="1">IFERROR(__xludf.DUMMYFUNCTION("""COMPUTED_VALUE"""),7)</f>
        <v>7</v>
      </c>
      <c r="F75" s="66" t="str">
        <f ca="1">IFERROR(__xludf.DUMMYFUNCTION("""COMPUTED_VALUE"""),"Постнова Ольга Вениаминовна")</f>
        <v>Постнова Ольга Вениаминовна</v>
      </c>
      <c r="G75" s="47">
        <f ca="1">IFERROR(__xludf.DUMMYFUNCTION("""COMPUTED_VALUE"""),5)</f>
        <v>5</v>
      </c>
      <c r="H75" s="47">
        <f ca="1">IFERROR(__xludf.DUMMYFUNCTION("""COMPUTED_VALUE"""),12)</f>
        <v>12</v>
      </c>
      <c r="I75" s="47">
        <f ca="1">IFERROR(__xludf.DUMMYFUNCTION("""COMPUTED_VALUE"""),0)</f>
        <v>0</v>
      </c>
      <c r="J75" s="47"/>
      <c r="K75" s="48">
        <f t="shared" ca="1" si="2"/>
        <v>17</v>
      </c>
      <c r="L75" s="69"/>
      <c r="M75" s="48">
        <f t="shared" ca="1" si="3"/>
        <v>17</v>
      </c>
      <c r="N75" s="48">
        <v>69</v>
      </c>
      <c r="O75" s="48" t="s">
        <v>83</v>
      </c>
      <c r="P75" s="48"/>
    </row>
    <row r="76" spans="1:16" ht="12.75" x14ac:dyDescent="0.2">
      <c r="A76" s="48">
        <v>70</v>
      </c>
      <c r="B76" s="66" t="str">
        <f ca="1">IFERROR(__xludf.DUMMYFUNCTION("""COMPUTED_VALUE"""),"Куликова Анастасия Витальевна")</f>
        <v>Куликова Анастасия Витальевна</v>
      </c>
      <c r="C76" s="47"/>
      <c r="D76" s="73" t="str">
        <f ca="1">IFERROR(__xludf.DUMMYFUNCTION("""COMPUTED_VALUE"""),"МОУ ""СОШ п. им. К. Маркса""")</f>
        <v>МОУ "СОШ п. им. К. Маркса"</v>
      </c>
      <c r="E76" s="47">
        <f ca="1">IFERROR(__xludf.DUMMYFUNCTION("""COMPUTED_VALUE"""),7)</f>
        <v>7</v>
      </c>
      <c r="F76" s="66" t="str">
        <f ca="1">IFERROR(__xludf.DUMMYFUNCTION("""COMPUTED_VALUE"""),"Постнова Ольга Вениаминовна")</f>
        <v>Постнова Ольга Вениаминовна</v>
      </c>
      <c r="G76" s="47">
        <f ca="1">IFERROR(__xludf.DUMMYFUNCTION("""COMPUTED_VALUE"""),3)</f>
        <v>3</v>
      </c>
      <c r="H76" s="47">
        <f ca="1">IFERROR(__xludf.DUMMYFUNCTION("""COMPUTED_VALUE"""),13)</f>
        <v>13</v>
      </c>
      <c r="I76" s="47">
        <f ca="1">IFERROR(__xludf.DUMMYFUNCTION("""COMPUTED_VALUE"""),1)</f>
        <v>1</v>
      </c>
      <c r="J76" s="47"/>
      <c r="K76" s="48">
        <f t="shared" ca="1" si="2"/>
        <v>17</v>
      </c>
      <c r="L76" s="69"/>
      <c r="M76" s="48">
        <f t="shared" ca="1" si="3"/>
        <v>17</v>
      </c>
      <c r="N76" s="48">
        <v>70</v>
      </c>
      <c r="O76" s="48" t="s">
        <v>83</v>
      </c>
      <c r="P76" s="48"/>
    </row>
    <row r="77" spans="1:16" ht="12.75" x14ac:dyDescent="0.2">
      <c r="A77" s="48">
        <v>71</v>
      </c>
      <c r="B77" s="66" t="str">
        <f ca="1">IFERROR(__xludf.DUMMYFUNCTION("""COMPUTED_VALUE"""),"Харитонова Ангелина Алексеевна")</f>
        <v>Харитонова Ангелина Алексеевна</v>
      </c>
      <c r="C77" s="47"/>
      <c r="D77" s="73" t="str">
        <f ca="1">IFERROR(__xludf.DUMMYFUNCTION("""COMPUTED_VALUE"""),"МОУ ""СОШ ""Патриот"" с кадетскими классами""")</f>
        <v>МОУ "СОШ "Патриот" с кадетскими классами"</v>
      </c>
      <c r="E77" s="47">
        <f ca="1">IFERROR(__xludf.DUMMYFUNCTION("""COMPUTED_VALUE"""),7)</f>
        <v>7</v>
      </c>
      <c r="F77" s="66" t="str">
        <f ca="1">IFERROR(__xludf.DUMMYFUNCTION("""COMPUTED_VALUE"""),"Языкова Светлана Александровна")</f>
        <v>Языкова Светлана Александровна</v>
      </c>
      <c r="G77" s="47">
        <f ca="1">IFERROR(__xludf.DUMMYFUNCTION("""COMPUTED_VALUE"""),5)</f>
        <v>5</v>
      </c>
      <c r="H77" s="47">
        <f ca="1">IFERROR(__xludf.DUMMYFUNCTION("""COMPUTED_VALUE"""),10)</f>
        <v>10</v>
      </c>
      <c r="I77" s="47">
        <f ca="1">IFERROR(__xludf.DUMMYFUNCTION("""COMPUTED_VALUE"""),2)</f>
        <v>2</v>
      </c>
      <c r="J77" s="47"/>
      <c r="K77" s="48">
        <f t="shared" ca="1" si="2"/>
        <v>17</v>
      </c>
      <c r="L77" s="69"/>
      <c r="M77" s="48">
        <f t="shared" ca="1" si="3"/>
        <v>17</v>
      </c>
      <c r="N77" s="48">
        <v>71</v>
      </c>
      <c r="O77" s="48" t="s">
        <v>83</v>
      </c>
      <c r="P77" s="48"/>
    </row>
    <row r="78" spans="1:16" ht="12.75" x14ac:dyDescent="0.2">
      <c r="A78" s="48">
        <v>72</v>
      </c>
      <c r="B78" s="71" t="str">
        <f ca="1">IFERROR(__xludf.DUMMYFUNCTION("IMPORTRANGE(""https://docs.google.com/spreadsheets/d/16CWr8ky6L0i1S4UOLMYHizeHS6aZnIDEnQPyRJyTpcI/edit#gid=0"", ""ООШ №10!B13:O17"")"),"Хрусталева Дарья Владимировна")</f>
        <v>Хрусталева Дарья Владимировна</v>
      </c>
      <c r="C78" s="48"/>
      <c r="D78" s="72" t="str">
        <f ca="1">IFERROR(__xludf.DUMMYFUNCTION("""COMPUTED_VALUE"""),"МОУ ""ООШ№10""")</f>
        <v>МОУ "ООШ№10"</v>
      </c>
      <c r="E78" s="48">
        <f ca="1">IFERROR(__xludf.DUMMYFUNCTION("""COMPUTED_VALUE"""),7)</f>
        <v>7</v>
      </c>
      <c r="F78" s="70" t="str">
        <f ca="1">IFERROR(__xludf.DUMMYFUNCTION("""COMPUTED_VALUE"""),"Бузюрова Оксана Васильевна")</f>
        <v>Бузюрова Оксана Васильевна</v>
      </c>
      <c r="G78" s="48">
        <f ca="1">IFERROR(__xludf.DUMMYFUNCTION("""COMPUTED_VALUE"""),4)</f>
        <v>4</v>
      </c>
      <c r="H78" s="48">
        <f ca="1">IFERROR(__xludf.DUMMYFUNCTION("""COMPUTED_VALUE"""),12)</f>
        <v>12</v>
      </c>
      <c r="I78" s="48">
        <f ca="1">IFERROR(__xludf.DUMMYFUNCTION("""COMPUTED_VALUE"""),0)</f>
        <v>0</v>
      </c>
      <c r="J78" s="48"/>
      <c r="K78" s="48">
        <f t="shared" ca="1" si="2"/>
        <v>16</v>
      </c>
      <c r="L78" s="69"/>
      <c r="M78" s="48">
        <f t="shared" ca="1" si="3"/>
        <v>16</v>
      </c>
      <c r="N78" s="48">
        <v>72</v>
      </c>
      <c r="O78" s="48" t="s">
        <v>83</v>
      </c>
      <c r="P78" s="48"/>
    </row>
    <row r="79" spans="1:16" ht="12.75" x14ac:dyDescent="0.2">
      <c r="A79" s="48">
        <v>73</v>
      </c>
      <c r="B79" s="70" t="str">
        <f ca="1">IFERROR(__xludf.DUMMYFUNCTION("""COMPUTED_VALUE"""),"Дугин Руслан Артемович")</f>
        <v>Дугин Руслан Артемович</v>
      </c>
      <c r="C79" s="48"/>
      <c r="D79" s="72" t="str">
        <f ca="1">IFERROR(__xludf.DUMMYFUNCTION("""COMPUTED_VALUE"""),"МОУ ""СОШ №24""")</f>
        <v>МОУ "СОШ №24"</v>
      </c>
      <c r="E79" s="48">
        <f ca="1">IFERROR(__xludf.DUMMYFUNCTION("""COMPUTED_VALUE"""),7)</f>
        <v>7</v>
      </c>
      <c r="F79" s="70" t="str">
        <f ca="1">IFERROR(__xludf.DUMMYFUNCTION("""COMPUTED_VALUE"""),"Моисеева Татьяна Владимировна")</f>
        <v>Моисеева Татьяна Владимировна</v>
      </c>
      <c r="G79" s="48">
        <f ca="1">IFERROR(__xludf.DUMMYFUNCTION("""COMPUTED_VALUE"""),3)</f>
        <v>3</v>
      </c>
      <c r="H79" s="48">
        <f ca="1">IFERROR(__xludf.DUMMYFUNCTION("""COMPUTED_VALUE"""),12)</f>
        <v>12</v>
      </c>
      <c r="I79" s="48">
        <f ca="1">IFERROR(__xludf.DUMMYFUNCTION("""COMPUTED_VALUE"""),1)</f>
        <v>1</v>
      </c>
      <c r="J79" s="48"/>
      <c r="K79" s="48">
        <f t="shared" ca="1" si="2"/>
        <v>16</v>
      </c>
      <c r="L79" s="69"/>
      <c r="M79" s="48">
        <f t="shared" ca="1" si="3"/>
        <v>16</v>
      </c>
      <c r="N79" s="48">
        <v>73</v>
      </c>
      <c r="O79" s="48" t="s">
        <v>83</v>
      </c>
      <c r="P79" s="48"/>
    </row>
    <row r="80" spans="1:16" ht="12.75" x14ac:dyDescent="0.2">
      <c r="A80" s="48">
        <v>74</v>
      </c>
      <c r="B80" s="66" t="str">
        <f ca="1">IFERROR(__xludf.DUMMYFUNCTION("""COMPUTED_VALUE"""),"Поперечнюк Анастасия Николаевна")</f>
        <v>Поперечнюк Анастасия Николаевна</v>
      </c>
      <c r="C80" s="47"/>
      <c r="D80" s="73" t="str">
        <f ca="1">IFERROR(__xludf.DUMMYFUNCTION("""COMPUTED_VALUE"""),"МОУ ""СОШ п. Придорожный""")</f>
        <v>МОУ "СОШ п. Придорожный"</v>
      </c>
      <c r="E80" s="47">
        <f ca="1">IFERROR(__xludf.DUMMYFUNCTION("""COMPUTED_VALUE"""),7)</f>
        <v>7</v>
      </c>
      <c r="F80" s="66" t="str">
        <f ca="1">IFERROR(__xludf.DUMMYFUNCTION("""COMPUTED_VALUE"""),"Демешко Екатерина Валерьевна")</f>
        <v>Демешко Екатерина Валерьевна</v>
      </c>
      <c r="G80" s="47">
        <f ca="1">IFERROR(__xludf.DUMMYFUNCTION("""COMPUTED_VALUE"""),2)</f>
        <v>2</v>
      </c>
      <c r="H80" s="47">
        <v>14</v>
      </c>
      <c r="I80" s="47">
        <v>0</v>
      </c>
      <c r="J80" s="47"/>
      <c r="K80" s="48">
        <f t="shared" ca="1" si="2"/>
        <v>16</v>
      </c>
      <c r="L80" s="48"/>
      <c r="M80" s="48">
        <f t="shared" ca="1" si="3"/>
        <v>16</v>
      </c>
      <c r="N80" s="48">
        <v>74</v>
      </c>
      <c r="O80" s="48" t="s">
        <v>83</v>
      </c>
      <c r="P80" s="48"/>
    </row>
    <row r="81" spans="1:16" ht="12.75" x14ac:dyDescent="0.2">
      <c r="A81" s="48">
        <v>75</v>
      </c>
      <c r="B81" s="66" t="str">
        <f ca="1">IFERROR(__xludf.DUMMYFUNCTION("""COMPUTED_VALUE"""),"Кравцов Глеб Олегович")</f>
        <v>Кравцов Глеб Олегович</v>
      </c>
      <c r="C81" s="47"/>
      <c r="D81" s="73" t="str">
        <f ca="1">IFERROR(__xludf.DUMMYFUNCTION("""COMPUTED_VALUE"""),"МОУ ""СОШ п. Придорожный""")</f>
        <v>МОУ "СОШ п. Придорожный"</v>
      </c>
      <c r="E81" s="47">
        <f ca="1">IFERROR(__xludf.DUMMYFUNCTION("""COMPUTED_VALUE"""),7)</f>
        <v>7</v>
      </c>
      <c r="F81" s="66" t="str">
        <f ca="1">IFERROR(__xludf.DUMMYFUNCTION("""COMPUTED_VALUE"""),"Демешко Екатерина Валерьевна")</f>
        <v>Демешко Екатерина Валерьевна</v>
      </c>
      <c r="G81" s="47">
        <f ca="1">IFERROR(__xludf.DUMMYFUNCTION("""COMPUTED_VALUE"""),2)</f>
        <v>2</v>
      </c>
      <c r="H81" s="47">
        <v>14</v>
      </c>
      <c r="I81" s="47">
        <v>0</v>
      </c>
      <c r="J81" s="47"/>
      <c r="K81" s="48">
        <f t="shared" ca="1" si="2"/>
        <v>16</v>
      </c>
      <c r="L81" s="48"/>
      <c r="M81" s="48">
        <f t="shared" ca="1" si="3"/>
        <v>16</v>
      </c>
      <c r="N81" s="48">
        <v>75</v>
      </c>
      <c r="O81" s="48" t="s">
        <v>83</v>
      </c>
      <c r="P81" s="48"/>
    </row>
    <row r="82" spans="1:16" ht="12.75" x14ac:dyDescent="0.2">
      <c r="A82" s="48">
        <v>76</v>
      </c>
      <c r="B82" s="66" t="str">
        <f ca="1">IFERROR(__xludf.DUMMYFUNCTION("""COMPUTED_VALUE"""),"Мирошин Артур Николаевич")</f>
        <v>Мирошин Артур Николаевич</v>
      </c>
      <c r="C82" s="47"/>
      <c r="D82" s="73" t="str">
        <f ca="1">IFERROR(__xludf.DUMMYFUNCTION("""COMPUTED_VALUE"""),"МОУ ""ООШ с. Ленинское""")</f>
        <v>МОУ "ООШ с. Ленинское"</v>
      </c>
      <c r="E82" s="47">
        <f ca="1">IFERROR(__xludf.DUMMYFUNCTION("""COMPUTED_VALUE"""),7)</f>
        <v>7</v>
      </c>
      <c r="F82" s="66" t="str">
        <f ca="1">IFERROR(__xludf.DUMMYFUNCTION("""COMPUTED_VALUE"""),"Савиных Людмила Васильевна")</f>
        <v>Савиных Людмила Васильевна</v>
      </c>
      <c r="G82" s="47">
        <f ca="1">IFERROR(__xludf.DUMMYFUNCTION("""COMPUTED_VALUE"""),4)</f>
        <v>4</v>
      </c>
      <c r="H82" s="47">
        <v>8</v>
      </c>
      <c r="I82" s="47">
        <v>4</v>
      </c>
      <c r="J82" s="47"/>
      <c r="K82" s="48">
        <f t="shared" ca="1" si="2"/>
        <v>16</v>
      </c>
      <c r="L82" s="48"/>
      <c r="M82" s="48">
        <f t="shared" ca="1" si="3"/>
        <v>16</v>
      </c>
      <c r="N82" s="48">
        <v>76</v>
      </c>
      <c r="O82" s="48" t="s">
        <v>83</v>
      </c>
      <c r="P82" s="48"/>
    </row>
    <row r="83" spans="1:16" ht="12.75" x14ac:dyDescent="0.2">
      <c r="A83" s="48">
        <v>77</v>
      </c>
      <c r="B83" s="66" t="str">
        <f ca="1">IFERROR(__xludf.DUMMYFUNCTION("""COMPUTED_VALUE"""),"Долженко Екатерина Сергеевна")</f>
        <v>Долженко Екатерина Сергеевна</v>
      </c>
      <c r="C83" s="47"/>
      <c r="D83" s="73" t="str">
        <f ca="1">IFERROR(__xludf.DUMMYFUNCTION("""COMPUTED_VALUE"""),"МОУ ""СОШ с. Шумейка""")</f>
        <v>МОУ "СОШ с. Шумейка"</v>
      </c>
      <c r="E83" s="47">
        <f ca="1">IFERROR(__xludf.DUMMYFUNCTION("""COMPUTED_VALUE"""),7)</f>
        <v>7</v>
      </c>
      <c r="F83" s="66" t="str">
        <f ca="1">IFERROR(__xludf.DUMMYFUNCTION("""COMPUTED_VALUE"""),"Полякова Наталия Викторовна")</f>
        <v>Полякова Наталия Викторовна</v>
      </c>
      <c r="G83" s="47">
        <f ca="1">IFERROR(__xludf.DUMMYFUNCTION("""COMPUTED_VALUE"""),3)</f>
        <v>3</v>
      </c>
      <c r="H83" s="47">
        <v>13</v>
      </c>
      <c r="I83" s="47">
        <v>0</v>
      </c>
      <c r="J83" s="47"/>
      <c r="K83" s="48">
        <f t="shared" ca="1" si="2"/>
        <v>16</v>
      </c>
      <c r="L83" s="48"/>
      <c r="M83" s="48">
        <f t="shared" ca="1" si="3"/>
        <v>16</v>
      </c>
      <c r="N83" s="48">
        <v>77</v>
      </c>
      <c r="O83" s="48" t="s">
        <v>83</v>
      </c>
      <c r="P83" s="48"/>
    </row>
    <row r="84" spans="1:16" ht="12.75" x14ac:dyDescent="0.2">
      <c r="A84" s="48">
        <v>78</v>
      </c>
      <c r="B84" s="66" t="str">
        <f ca="1">IFERROR(__xludf.DUMMYFUNCTION("""COMPUTED_VALUE"""),"Павлова Елизавета Алексеевна")</f>
        <v>Павлова Елизавета Алексеевна</v>
      </c>
      <c r="C84" s="47"/>
      <c r="D84" s="73" t="str">
        <f ca="1">IFERROR(__xludf.DUMMYFUNCTION("""COMPUTED_VALUE"""),"МОУ ""СОШ ""Патриот"" с кадетскими классами""")</f>
        <v>МОУ "СОШ "Патриот" с кадетскими классами"</v>
      </c>
      <c r="E84" s="47">
        <f ca="1">IFERROR(__xludf.DUMMYFUNCTION("""COMPUTED_VALUE"""),7)</f>
        <v>7</v>
      </c>
      <c r="F84" s="66" t="str">
        <f ca="1">IFERROR(__xludf.DUMMYFUNCTION("""COMPUTED_VALUE"""),"Языкова Светлана Александровна")</f>
        <v>Языкова Светлана Александровна</v>
      </c>
      <c r="G84" s="47">
        <f ca="1">IFERROR(__xludf.DUMMYFUNCTION("""COMPUTED_VALUE"""),5)</f>
        <v>5</v>
      </c>
      <c r="H84" s="47">
        <f ca="1">IFERROR(__xludf.DUMMYFUNCTION("""COMPUTED_VALUE"""),9)</f>
        <v>9</v>
      </c>
      <c r="I84" s="47">
        <f ca="1">IFERROR(__xludf.DUMMYFUNCTION("""COMPUTED_VALUE"""),2)</f>
        <v>2</v>
      </c>
      <c r="J84" s="47"/>
      <c r="K84" s="48">
        <f t="shared" ca="1" si="2"/>
        <v>16</v>
      </c>
      <c r="L84" s="69"/>
      <c r="M84" s="48">
        <f t="shared" ca="1" si="3"/>
        <v>16</v>
      </c>
      <c r="N84" s="48">
        <v>78</v>
      </c>
      <c r="O84" s="48" t="s">
        <v>83</v>
      </c>
      <c r="P84" s="48"/>
    </row>
    <row r="85" spans="1:16" ht="12.75" x14ac:dyDescent="0.2">
      <c r="A85" s="48">
        <v>79</v>
      </c>
      <c r="B85" s="66" t="str">
        <f ca="1">IFERROR(__xludf.DUMMYFUNCTION("""COMPUTED_VALUE"""),"Степанов Егор Александрович")</f>
        <v>Степанов Егор Александрович</v>
      </c>
      <c r="C85" s="47"/>
      <c r="D85" s="73" t="str">
        <f ca="1">IFERROR(__xludf.DUMMYFUNCTION("""COMPUTED_VALUE"""),"МОУ ""СОШ ""Патриот"" с кадетскими классами""")</f>
        <v>МОУ "СОШ "Патриот" с кадетскими классами"</v>
      </c>
      <c r="E85" s="47">
        <f ca="1">IFERROR(__xludf.DUMMYFUNCTION("""COMPUTED_VALUE"""),7)</f>
        <v>7</v>
      </c>
      <c r="F85" s="66" t="str">
        <f ca="1">IFERROR(__xludf.DUMMYFUNCTION("""COMPUTED_VALUE"""),"Языкова Светлана Александровна")</f>
        <v>Языкова Светлана Александровна</v>
      </c>
      <c r="G85" s="47">
        <f ca="1">IFERROR(__xludf.DUMMYFUNCTION("""COMPUTED_VALUE"""),3)</f>
        <v>3</v>
      </c>
      <c r="H85" s="47">
        <f ca="1">IFERROR(__xludf.DUMMYFUNCTION("""COMPUTED_VALUE"""),9)</f>
        <v>9</v>
      </c>
      <c r="I85" s="47">
        <f ca="1">IFERROR(__xludf.DUMMYFUNCTION("""COMPUTED_VALUE"""),4)</f>
        <v>4</v>
      </c>
      <c r="J85" s="47"/>
      <c r="K85" s="48">
        <f t="shared" ca="1" si="2"/>
        <v>16</v>
      </c>
      <c r="L85" s="69"/>
      <c r="M85" s="48">
        <f t="shared" ca="1" si="3"/>
        <v>16</v>
      </c>
      <c r="N85" s="48">
        <v>79</v>
      </c>
      <c r="O85" s="48" t="s">
        <v>83</v>
      </c>
      <c r="P85" s="48"/>
    </row>
    <row r="86" spans="1:16" ht="12.75" x14ac:dyDescent="0.2">
      <c r="A86" s="48">
        <v>80</v>
      </c>
      <c r="B86" s="66" t="str">
        <f ca="1">IFERROR(__xludf.DUMMYFUNCTION("""COMPUTED_VALUE"""),"Бухарев Артем Дмитриевич")</f>
        <v>Бухарев Артем Дмитриевич</v>
      </c>
      <c r="C86" s="47"/>
      <c r="D86" s="73" t="str">
        <f ca="1">IFERROR(__xludf.DUMMYFUNCTION("""COMPUTED_VALUE"""),"МОУ ""СОШ ""Патриот"" с кадетскими классами""")</f>
        <v>МОУ "СОШ "Патриот" с кадетскими классами"</v>
      </c>
      <c r="E86" s="47">
        <f ca="1">IFERROR(__xludf.DUMMYFUNCTION("""COMPUTED_VALUE"""),7)</f>
        <v>7</v>
      </c>
      <c r="F86" s="66" t="str">
        <f ca="1">IFERROR(__xludf.DUMMYFUNCTION("""COMPUTED_VALUE"""),"Языкова Светлана Александровна")</f>
        <v>Языкова Светлана Александровна</v>
      </c>
      <c r="G86" s="47">
        <f ca="1">IFERROR(__xludf.DUMMYFUNCTION("""COMPUTED_VALUE"""),3)</f>
        <v>3</v>
      </c>
      <c r="H86" s="47">
        <f ca="1">IFERROR(__xludf.DUMMYFUNCTION("""COMPUTED_VALUE"""),10)</f>
        <v>10</v>
      </c>
      <c r="I86" s="47">
        <f ca="1">IFERROR(__xludf.DUMMYFUNCTION("""COMPUTED_VALUE"""),3)</f>
        <v>3</v>
      </c>
      <c r="J86" s="47"/>
      <c r="K86" s="48">
        <f t="shared" ca="1" si="2"/>
        <v>16</v>
      </c>
      <c r="L86" s="69"/>
      <c r="M86" s="48">
        <f t="shared" ca="1" si="3"/>
        <v>16</v>
      </c>
      <c r="N86" s="48">
        <v>80</v>
      </c>
      <c r="O86" s="48" t="s">
        <v>83</v>
      </c>
      <c r="P86" s="48"/>
    </row>
    <row r="87" spans="1:16" ht="12.75" x14ac:dyDescent="0.2">
      <c r="A87" s="48">
        <v>81</v>
      </c>
      <c r="B87" s="66" t="str">
        <f ca="1">IFERROR(__xludf.DUMMYFUNCTION("""COMPUTED_VALUE"""),"Петренко Никита Анатольевич")</f>
        <v>Петренко Никита Анатольевич</v>
      </c>
      <c r="C87" s="47"/>
      <c r="D87" s="73" t="str">
        <f ca="1">IFERROR(__xludf.DUMMYFUNCTION("""COMPUTED_VALUE"""),"МОУ ""СОШ ""Патриот"" с кадетскими классами""")</f>
        <v>МОУ "СОШ "Патриот" с кадетскими классами"</v>
      </c>
      <c r="E87" s="47">
        <f ca="1">IFERROR(__xludf.DUMMYFUNCTION("""COMPUTED_VALUE"""),7)</f>
        <v>7</v>
      </c>
      <c r="F87" s="66" t="str">
        <f ca="1">IFERROR(__xludf.DUMMYFUNCTION("""COMPUTED_VALUE"""),"Языкова Светлана Александровна")</f>
        <v>Языкова Светлана Александровна</v>
      </c>
      <c r="G87" s="47">
        <f ca="1">IFERROR(__xludf.DUMMYFUNCTION("""COMPUTED_VALUE"""),3)</f>
        <v>3</v>
      </c>
      <c r="H87" s="47">
        <f ca="1">IFERROR(__xludf.DUMMYFUNCTION("""COMPUTED_VALUE"""),9)</f>
        <v>9</v>
      </c>
      <c r="I87" s="47">
        <f ca="1">IFERROR(__xludf.DUMMYFUNCTION("""COMPUTED_VALUE"""),4)</f>
        <v>4</v>
      </c>
      <c r="J87" s="47"/>
      <c r="K87" s="48">
        <f t="shared" ca="1" si="2"/>
        <v>16</v>
      </c>
      <c r="L87" s="69"/>
      <c r="M87" s="48">
        <f t="shared" ca="1" si="3"/>
        <v>16</v>
      </c>
      <c r="N87" s="48">
        <v>81</v>
      </c>
      <c r="O87" s="48" t="s">
        <v>83</v>
      </c>
      <c r="P87" s="48"/>
    </row>
    <row r="88" spans="1:16" ht="12.75" x14ac:dyDescent="0.2">
      <c r="A88" s="48">
        <v>82</v>
      </c>
      <c r="B88" s="66" t="str">
        <f ca="1">IFERROR(__xludf.DUMMYFUNCTION("""COMPUTED_VALUE"""),"Мельникова Алёна Алексеевна")</f>
        <v>Мельникова Алёна Алексеевна</v>
      </c>
      <c r="C88" s="47"/>
      <c r="D88" s="73" t="str">
        <f ca="1">IFERROR(__xludf.DUMMYFUNCTION("""COMPUTED_VALUE"""),"МОУ ""СОШ с. Шумейка""")</f>
        <v>МОУ "СОШ с. Шумейка"</v>
      </c>
      <c r="E88" s="47">
        <f ca="1">IFERROR(__xludf.DUMMYFUNCTION("""COMPUTED_VALUE"""),7)</f>
        <v>7</v>
      </c>
      <c r="F88" s="66" t="str">
        <f ca="1">IFERROR(__xludf.DUMMYFUNCTION("""COMPUTED_VALUE"""),"Полякова Наталия Викторовна")</f>
        <v>Полякова Наталия Викторовна</v>
      </c>
      <c r="G88" s="47">
        <f ca="1">IFERROR(__xludf.DUMMYFUNCTION("""COMPUTED_VALUE"""),1)</f>
        <v>1</v>
      </c>
      <c r="H88" s="47">
        <v>13</v>
      </c>
      <c r="I88" s="47">
        <v>1</v>
      </c>
      <c r="J88" s="47"/>
      <c r="K88" s="48">
        <f t="shared" ca="1" si="2"/>
        <v>15</v>
      </c>
      <c r="L88" s="48"/>
      <c r="M88" s="48">
        <f t="shared" ca="1" si="3"/>
        <v>15</v>
      </c>
      <c r="N88" s="48">
        <v>82</v>
      </c>
      <c r="O88" s="48" t="s">
        <v>83</v>
      </c>
      <c r="P88" s="48"/>
    </row>
    <row r="89" spans="1:16" ht="12.75" x14ac:dyDescent="0.2">
      <c r="A89" s="48">
        <v>83</v>
      </c>
      <c r="B89" s="66" t="str">
        <f ca="1">IFERROR(__xludf.DUMMYFUNCTION("""COMPUTED_VALUE"""),"Шарипова Самира Анатольевна")</f>
        <v>Шарипова Самира Анатольевна</v>
      </c>
      <c r="C89" s="47"/>
      <c r="D89" s="73" t="str">
        <f ca="1">IFERROR(__xludf.DUMMYFUNCTION("""COMPUTED_VALUE"""),"МОУ ""СОШ п. им. К. Маркса""")</f>
        <v>МОУ "СОШ п. им. К. Маркса"</v>
      </c>
      <c r="E89" s="47">
        <f ca="1">IFERROR(__xludf.DUMMYFUNCTION("""COMPUTED_VALUE"""),7)</f>
        <v>7</v>
      </c>
      <c r="F89" s="66" t="str">
        <f ca="1">IFERROR(__xludf.DUMMYFUNCTION("""COMPUTED_VALUE"""),"Постнова Ольга Вениаминовна")</f>
        <v>Постнова Ольга Вениаминовна</v>
      </c>
      <c r="G89" s="47">
        <f ca="1">IFERROR(__xludf.DUMMYFUNCTION("""COMPUTED_VALUE"""),4)</f>
        <v>4</v>
      </c>
      <c r="H89" s="47">
        <f ca="1">IFERROR(__xludf.DUMMYFUNCTION("""COMPUTED_VALUE"""),11)</f>
        <v>11</v>
      </c>
      <c r="I89" s="47">
        <f ca="1">IFERROR(__xludf.DUMMYFUNCTION("""COMPUTED_VALUE"""),0)</f>
        <v>0</v>
      </c>
      <c r="J89" s="47"/>
      <c r="K89" s="48">
        <f t="shared" ca="1" si="2"/>
        <v>15</v>
      </c>
      <c r="L89" s="69"/>
      <c r="M89" s="48">
        <f t="shared" ca="1" si="3"/>
        <v>15</v>
      </c>
      <c r="N89" s="48">
        <v>83</v>
      </c>
      <c r="O89" s="48" t="s">
        <v>83</v>
      </c>
      <c r="P89" s="48"/>
    </row>
    <row r="90" spans="1:16" ht="12.75" x14ac:dyDescent="0.2">
      <c r="A90" s="48">
        <v>84</v>
      </c>
      <c r="B90" s="66" t="str">
        <f ca="1">IFERROR(__xludf.DUMMYFUNCTION("""COMPUTED_VALUE"""),"Мигунова Софья Вячеславовна")</f>
        <v>Мигунова Софья Вячеславовна</v>
      </c>
      <c r="C90" s="47"/>
      <c r="D90" s="73" t="str">
        <f ca="1">IFERROR(__xludf.DUMMYFUNCTION("""COMPUTED_VALUE"""),"МОУ ""СОШ №33""")</f>
        <v>МОУ "СОШ №33"</v>
      </c>
      <c r="E90" s="47">
        <f ca="1">IFERROR(__xludf.DUMMYFUNCTION("""COMPUTED_VALUE"""),7)</f>
        <v>7</v>
      </c>
      <c r="F90" s="66" t="str">
        <f ca="1">IFERROR(__xludf.DUMMYFUNCTION("""COMPUTED_VALUE"""),"Сибряева Надежда Васильевна")</f>
        <v>Сибряева Надежда Васильевна</v>
      </c>
      <c r="G90" s="47">
        <f ca="1">IFERROR(__xludf.DUMMYFUNCTION("""COMPUTED_VALUE"""),3)</f>
        <v>3</v>
      </c>
      <c r="H90" s="47">
        <f ca="1">IFERROR(__xludf.DUMMYFUNCTION("""COMPUTED_VALUE"""),12)</f>
        <v>12</v>
      </c>
      <c r="I90" s="47">
        <f ca="1">IFERROR(__xludf.DUMMYFUNCTION("""COMPUTED_VALUE"""),0)</f>
        <v>0</v>
      </c>
      <c r="J90" s="47"/>
      <c r="K90" s="48">
        <f t="shared" ca="1" si="2"/>
        <v>15</v>
      </c>
      <c r="L90" s="69"/>
      <c r="M90" s="48">
        <f t="shared" ca="1" si="3"/>
        <v>15</v>
      </c>
      <c r="N90" s="48">
        <v>84</v>
      </c>
      <c r="O90" s="48" t="s">
        <v>83</v>
      </c>
      <c r="P90" s="48"/>
    </row>
    <row r="91" spans="1:16" ht="12.75" x14ac:dyDescent="0.2">
      <c r="A91" s="48">
        <v>85</v>
      </c>
      <c r="B91" s="66" t="str">
        <f ca="1">IFERROR(__xludf.DUMMYFUNCTION("""COMPUTED_VALUE"""),"Масков Иван Сергеевич")</f>
        <v>Масков Иван Сергеевич</v>
      </c>
      <c r="C91" s="47"/>
      <c r="D91" s="73" t="str">
        <f ca="1">IFERROR(__xludf.DUMMYFUNCTION("""COMPUTED_VALUE"""),"МОУ ""СОШ ""Патриот"" с кадетскими классами""")</f>
        <v>МОУ "СОШ "Патриот" с кадетскими классами"</v>
      </c>
      <c r="E91" s="47">
        <f ca="1">IFERROR(__xludf.DUMMYFUNCTION("""COMPUTED_VALUE"""),7)</f>
        <v>7</v>
      </c>
      <c r="F91" s="66" t="str">
        <f ca="1">IFERROR(__xludf.DUMMYFUNCTION("""COMPUTED_VALUE"""),"Языкова Светлана Александровна")</f>
        <v>Языкова Светлана Александровна</v>
      </c>
      <c r="G91" s="47">
        <f ca="1">IFERROR(__xludf.DUMMYFUNCTION("""COMPUTED_VALUE"""),3)</f>
        <v>3</v>
      </c>
      <c r="H91" s="47">
        <f ca="1">IFERROR(__xludf.DUMMYFUNCTION("""COMPUTED_VALUE"""),9)</f>
        <v>9</v>
      </c>
      <c r="I91" s="47">
        <f ca="1">IFERROR(__xludf.DUMMYFUNCTION("""COMPUTED_VALUE"""),3)</f>
        <v>3</v>
      </c>
      <c r="J91" s="47"/>
      <c r="K91" s="48">
        <f t="shared" ca="1" si="2"/>
        <v>15</v>
      </c>
      <c r="L91" s="69"/>
      <c r="M91" s="48">
        <f t="shared" ca="1" si="3"/>
        <v>15</v>
      </c>
      <c r="N91" s="48">
        <v>85</v>
      </c>
      <c r="O91" s="48" t="s">
        <v>83</v>
      </c>
      <c r="P91" s="48"/>
    </row>
    <row r="92" spans="1:16" ht="12.75" x14ac:dyDescent="0.2">
      <c r="A92" s="48">
        <v>86</v>
      </c>
      <c r="B92" s="66" t="str">
        <f ca="1">IFERROR(__xludf.DUMMYFUNCTION("""COMPUTED_VALUE"""),"Курганова Виктория Маратовна")</f>
        <v>Курганова Виктория Маратовна</v>
      </c>
      <c r="C92" s="47"/>
      <c r="D92" s="73" t="str">
        <f ca="1">IFERROR(__xludf.DUMMYFUNCTION("""COMPUTED_VALUE"""),"МОУ ""ООШ с. Ленинское""")</f>
        <v>МОУ "ООШ с. Ленинское"</v>
      </c>
      <c r="E92" s="47">
        <f ca="1">IFERROR(__xludf.DUMMYFUNCTION("""COMPUTED_VALUE"""),7)</f>
        <v>7</v>
      </c>
      <c r="F92" s="66" t="str">
        <f ca="1">IFERROR(__xludf.DUMMYFUNCTION("""COMPUTED_VALUE"""),"Савиных Людмила Васильевна")</f>
        <v>Савиных Людмила Васильевна</v>
      </c>
      <c r="G92" s="47">
        <f ca="1">IFERROR(__xludf.DUMMYFUNCTION("""COMPUTED_VALUE"""),3)</f>
        <v>3</v>
      </c>
      <c r="H92" s="47">
        <v>10</v>
      </c>
      <c r="I92" s="47">
        <v>0</v>
      </c>
      <c r="J92" s="47"/>
      <c r="K92" s="48">
        <f t="shared" ca="1" si="2"/>
        <v>13</v>
      </c>
      <c r="L92" s="48"/>
      <c r="M92" s="48">
        <f t="shared" ca="1" si="3"/>
        <v>13</v>
      </c>
      <c r="N92" s="48">
        <v>86</v>
      </c>
      <c r="O92" s="48" t="s">
        <v>83</v>
      </c>
      <c r="P92" s="48"/>
    </row>
    <row r="93" spans="1:16" ht="12.75" x14ac:dyDescent="0.2">
      <c r="A93" s="48">
        <v>87</v>
      </c>
      <c r="B93" s="71" t="str">
        <f ca="1">IFERROR(__xludf.DUMMYFUNCTION("IMPORTRANGE(""https://docs.google.com/spreadsheets/d/16CWr8ky6L0i1S4UOLMYHizeHS6aZnIDEnQPyRJyTpcI/edit#gid=0"", ""СОШ п. Придорожный!B13:O17"")"),"Смагулов Надирхан Кайратович")</f>
        <v>Смагулов Надирхан Кайратович</v>
      </c>
      <c r="C93" s="47"/>
      <c r="D93" s="73" t="str">
        <f ca="1">IFERROR(__xludf.DUMMYFUNCTION("""COMPUTED_VALUE"""),"МОУ ""СОШ п. Придорожный""")</f>
        <v>МОУ "СОШ п. Придорожный"</v>
      </c>
      <c r="E93" s="47">
        <f ca="1">IFERROR(__xludf.DUMMYFUNCTION("""COMPUTED_VALUE"""),7)</f>
        <v>7</v>
      </c>
      <c r="F93" s="66" t="str">
        <f ca="1">IFERROR(__xludf.DUMMYFUNCTION("""COMPUTED_VALUE"""),"Демешко Екатерина Валерьевна")</f>
        <v>Демешко Екатерина Валерьевна</v>
      </c>
      <c r="G93" s="47">
        <f ca="1">IFERROR(__xludf.DUMMYFUNCTION("""COMPUTED_VALUE"""),1)</f>
        <v>1</v>
      </c>
      <c r="H93" s="47">
        <v>10</v>
      </c>
      <c r="I93" s="47">
        <v>1</v>
      </c>
      <c r="J93" s="47"/>
      <c r="K93" s="48">
        <f t="shared" ca="1" si="2"/>
        <v>12</v>
      </c>
      <c r="L93" s="48"/>
      <c r="M93" s="48">
        <f t="shared" ca="1" si="3"/>
        <v>12</v>
      </c>
      <c r="N93" s="48">
        <v>87</v>
      </c>
      <c r="O93" s="48" t="s">
        <v>83</v>
      </c>
      <c r="P93" s="48"/>
    </row>
    <row r="94" spans="1:16" ht="12.75" x14ac:dyDescent="0.2">
      <c r="A94" s="48">
        <v>88</v>
      </c>
      <c r="B94" s="66" t="str">
        <f ca="1">IFERROR(__xludf.DUMMYFUNCTION("""COMPUTED_VALUE"""),"Туркова Дарья Сергеевна ")</f>
        <v xml:space="preserve">Туркова Дарья Сергеевна </v>
      </c>
      <c r="C94" s="47"/>
      <c r="D94" s="73" t="str">
        <f ca="1">IFERROR(__xludf.DUMMYFUNCTION("""COMPUTED_VALUE"""),"МОУ ""СОШ с. Шумейка""")</f>
        <v>МОУ "СОШ с. Шумейка"</v>
      </c>
      <c r="E94" s="47">
        <f ca="1">IFERROR(__xludf.DUMMYFUNCTION("""COMPUTED_VALUE"""),7)</f>
        <v>7</v>
      </c>
      <c r="F94" s="66" t="str">
        <f ca="1">IFERROR(__xludf.DUMMYFUNCTION("""COMPUTED_VALUE"""),"Полякова Наталия Викторовна")</f>
        <v>Полякова Наталия Викторовна</v>
      </c>
      <c r="G94" s="47">
        <f ca="1">IFERROR(__xludf.DUMMYFUNCTION("""COMPUTED_VALUE"""),1)</f>
        <v>1</v>
      </c>
      <c r="H94" s="47">
        <v>11</v>
      </c>
      <c r="I94" s="47">
        <v>0</v>
      </c>
      <c r="J94" s="47"/>
      <c r="K94" s="47">
        <f ca="1">IFERROR(__xludf.DUMMYFUNCTION("""COMPUTED_VALUE"""),12)</f>
        <v>12</v>
      </c>
      <c r="L94" s="48"/>
      <c r="M94" s="48">
        <f t="shared" ca="1" si="3"/>
        <v>12</v>
      </c>
      <c r="N94" s="48">
        <v>88</v>
      </c>
      <c r="O94" s="48" t="s">
        <v>83</v>
      </c>
      <c r="P94" s="48"/>
    </row>
    <row r="95" spans="1:16" ht="15.75" customHeight="1" x14ac:dyDescent="0.2">
      <c r="A95" s="48">
        <v>89</v>
      </c>
      <c r="B95" s="66" t="str">
        <f ca="1">IFERROR(__xludf.DUMMYFUNCTION("""COMPUTED_VALUE"""),"Гаврилина Виктория Алексеевна")</f>
        <v>Гаврилина Виктория Алексеевна</v>
      </c>
      <c r="C95" s="47"/>
      <c r="D95" s="73" t="str">
        <f ca="1">IFERROR(__xludf.DUMMYFUNCTION("""COMPUTED_VALUE"""),"МОУ ""СОШ п. Придорожный""")</f>
        <v>МОУ "СОШ п. Придорожный"</v>
      </c>
      <c r="E95" s="47">
        <f ca="1">IFERROR(__xludf.DUMMYFUNCTION("""COMPUTED_VALUE"""),7)</f>
        <v>7</v>
      </c>
      <c r="F95" s="66" t="str">
        <f ca="1">IFERROR(__xludf.DUMMYFUNCTION("""COMPUTED_VALUE"""),"Демешко Екатерина Валерьевна")</f>
        <v>Демешко Екатерина Валерьевна</v>
      </c>
      <c r="G95" s="47">
        <f ca="1">IFERROR(__xludf.DUMMYFUNCTION("""COMPUTED_VALUE"""),2)</f>
        <v>2</v>
      </c>
      <c r="H95" s="47">
        <v>9</v>
      </c>
      <c r="I95" s="47">
        <v>0</v>
      </c>
      <c r="J95" s="47"/>
      <c r="K95" s="48">
        <f ca="1">SUM(G95:I95)</f>
        <v>11</v>
      </c>
      <c r="L95" s="48"/>
      <c r="M95" s="48">
        <f t="shared" ca="1" si="3"/>
        <v>11</v>
      </c>
      <c r="N95" s="48">
        <v>89</v>
      </c>
      <c r="O95" s="48" t="s">
        <v>88</v>
      </c>
      <c r="P95" s="48"/>
    </row>
  </sheetData>
  <sortState ref="A6:S98">
    <sortCondition descending="1" ref="K6:K98"/>
  </sortState>
  <mergeCells count="14">
    <mergeCell ref="N5:N6"/>
    <mergeCell ref="M5:M6"/>
    <mergeCell ref="L5:L6"/>
    <mergeCell ref="A2:R2"/>
    <mergeCell ref="A3:R3"/>
    <mergeCell ref="A4:R4"/>
    <mergeCell ref="O5:P5"/>
    <mergeCell ref="G5:I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39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39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39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39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39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39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39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39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39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39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39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39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39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39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39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39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39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39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39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39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39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39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39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39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39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39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39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39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39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39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39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39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39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39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39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40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40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40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40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40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40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40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40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40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40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40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40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40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40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40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40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40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40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40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40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40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40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40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40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40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40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40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40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40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40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40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40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40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40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40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41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41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41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41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41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41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41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41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41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41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41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41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41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41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41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41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41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41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41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41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41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41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41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41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41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41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41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41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41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41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41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41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41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41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41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42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42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42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42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42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42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42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42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42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42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42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42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42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42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42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42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42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42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42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42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42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42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42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42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42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42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42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42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42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42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42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42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42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42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42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43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43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43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43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43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43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43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43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43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43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43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43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43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43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43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43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43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43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43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43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43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43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43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43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43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43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43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43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43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43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43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43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43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43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43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45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45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45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45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45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45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45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45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45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45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45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45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45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45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45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45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45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45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45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45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45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45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45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45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45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45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45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45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45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45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45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45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45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45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45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46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46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46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46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46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46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46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46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46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46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46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46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46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46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46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46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46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46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46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46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46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46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46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46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46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46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46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46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46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46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46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46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46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46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46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47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47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47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47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47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47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47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47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47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47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47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47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47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47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47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47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47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47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47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47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47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47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47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47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47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47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47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47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47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47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47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47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47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47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47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2"/>
  <sheetViews>
    <sheetView topLeftCell="G1" workbookViewId="0">
      <selection activeCell="Q6" sqref="Q6:Q17"/>
    </sheetView>
  </sheetViews>
  <sheetFormatPr defaultColWidth="14.42578125" defaultRowHeight="15.75" customHeight="1" x14ac:dyDescent="0.2"/>
  <cols>
    <col min="1" max="1" width="7" customWidth="1"/>
    <col min="2" max="2" width="34" customWidth="1"/>
    <col min="3" max="3" width="14" customWidth="1"/>
    <col min="4" max="4" width="41.5703125" customWidth="1"/>
    <col min="5" max="5" width="9.85546875" customWidth="1"/>
    <col min="6" max="6" width="32.7109375" customWidth="1"/>
    <col min="7" max="9" width="10.85546875" customWidth="1"/>
    <col min="10" max="10" width="10.85546875" hidden="1" customWidth="1"/>
    <col min="13" max="14" width="14.42578125" style="32"/>
    <col min="16" max="16" width="34.140625" customWidth="1"/>
  </cols>
  <sheetData>
    <row r="1" spans="1:18" ht="15.75" customHeight="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.75" customHeight="1" x14ac:dyDescent="0.25">
      <c r="A2" s="108" t="s">
        <v>101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customHeight="1" x14ac:dyDescent="0.25">
      <c r="A3" s="108" t="s">
        <v>102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 customHeight="1" x14ac:dyDescent="0.25">
      <c r="A4" s="108" t="s">
        <v>44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12.75" x14ac:dyDescent="0.2">
      <c r="A5" s="118" t="s">
        <v>0</v>
      </c>
      <c r="B5" s="118" t="s">
        <v>1</v>
      </c>
      <c r="C5" s="118" t="s">
        <v>2</v>
      </c>
      <c r="D5" s="118" t="s">
        <v>3</v>
      </c>
      <c r="E5" s="118" t="s">
        <v>4</v>
      </c>
      <c r="F5" s="118" t="s">
        <v>5</v>
      </c>
      <c r="G5" s="116" t="s">
        <v>6</v>
      </c>
      <c r="H5" s="117"/>
      <c r="I5" s="117"/>
      <c r="J5" s="31"/>
      <c r="K5" s="78" t="s">
        <v>12</v>
      </c>
      <c r="L5" s="78" t="s">
        <v>8</v>
      </c>
      <c r="M5" s="78" t="s">
        <v>9</v>
      </c>
      <c r="N5" s="78" t="s">
        <v>10</v>
      </c>
      <c r="O5" s="114" t="s">
        <v>11</v>
      </c>
      <c r="P5" s="115"/>
    </row>
    <row r="6" spans="1:18" ht="12.75" x14ac:dyDescent="0.2">
      <c r="A6" s="119"/>
      <c r="B6" s="119"/>
      <c r="C6" s="119"/>
      <c r="D6" s="119"/>
      <c r="E6" s="119"/>
      <c r="F6" s="119"/>
      <c r="G6" s="93" t="s">
        <v>62</v>
      </c>
      <c r="H6" s="93" t="s">
        <v>63</v>
      </c>
      <c r="I6" s="93" t="s">
        <v>64</v>
      </c>
      <c r="J6" s="93"/>
      <c r="K6" s="93" t="s">
        <v>65</v>
      </c>
      <c r="L6" s="93"/>
      <c r="M6" s="93"/>
      <c r="N6" s="93"/>
      <c r="O6" s="93"/>
      <c r="P6" s="93"/>
      <c r="Q6" s="101" t="s">
        <v>137</v>
      </c>
    </row>
    <row r="7" spans="1:18" ht="12.75" x14ac:dyDescent="0.2">
      <c r="A7" s="47">
        <v>1</v>
      </c>
      <c r="B7" s="96" t="s">
        <v>13</v>
      </c>
      <c r="C7" s="66"/>
      <c r="D7" s="96" t="s">
        <v>14</v>
      </c>
      <c r="E7" s="94">
        <v>8</v>
      </c>
      <c r="F7" s="96" t="s">
        <v>15</v>
      </c>
      <c r="G7" s="94">
        <v>10</v>
      </c>
      <c r="H7" s="94">
        <v>20</v>
      </c>
      <c r="I7" s="94">
        <v>4</v>
      </c>
      <c r="J7" s="47"/>
      <c r="K7" s="94">
        <f t="shared" ref="K7:K38" si="0">SUM(G7:I7)</f>
        <v>34</v>
      </c>
      <c r="L7" s="95"/>
      <c r="M7" s="69">
        <f>K7</f>
        <v>34</v>
      </c>
      <c r="N7" s="47">
        <v>1</v>
      </c>
      <c r="O7" s="47" t="s">
        <v>82</v>
      </c>
      <c r="P7" s="47" t="s">
        <v>109</v>
      </c>
      <c r="Q7" s="30" t="s">
        <v>66</v>
      </c>
    </row>
    <row r="8" spans="1:18" ht="12.75" x14ac:dyDescent="0.2">
      <c r="A8" s="48">
        <v>2</v>
      </c>
      <c r="B8" s="70" t="str">
        <f ca="1">IFERROR(__xludf.DUMMYFUNCTION("""COMPUTED_VALUE"""),"Ваструхов Андрей Алексеевич")</f>
        <v>Ваструхов Андрей Алексеевич</v>
      </c>
      <c r="C8" s="70"/>
      <c r="D8" s="70" t="str">
        <f ca="1">IFERROR(__xludf.DUMMYFUNCTION("""COMPUTED_VALUE"""),"МОУ ""СОШ №33""")</f>
        <v>МОУ "СОШ №33"</v>
      </c>
      <c r="E8" s="48">
        <f ca="1">IFERROR(__xludf.DUMMYFUNCTION("""COMPUTED_VALUE"""),8)</f>
        <v>8</v>
      </c>
      <c r="F8" s="70" t="str">
        <f ca="1">IFERROR(__xludf.DUMMYFUNCTION("""COMPUTED_VALUE"""),"Сибряева Надежда Васильевна")</f>
        <v>Сибряева Надежда Васильевна</v>
      </c>
      <c r="G8" s="48">
        <f ca="1">IFERROR(__xludf.DUMMYFUNCTION("""COMPUTED_VALUE"""),9)</f>
        <v>9</v>
      </c>
      <c r="H8" s="48">
        <f ca="1">IFERROR(__xludf.DUMMYFUNCTION("""COMPUTED_VALUE"""),19)</f>
        <v>19</v>
      </c>
      <c r="I8" s="48">
        <f ca="1">IFERROR(__xludf.DUMMYFUNCTION("""COMPUTED_VALUE"""),4)</f>
        <v>4</v>
      </c>
      <c r="J8" s="48"/>
      <c r="K8" s="94">
        <f t="shared" ca="1" si="0"/>
        <v>32</v>
      </c>
      <c r="L8" s="95"/>
      <c r="M8" s="69">
        <f t="shared" ref="M8:M71" ca="1" si="1">K8</f>
        <v>32</v>
      </c>
      <c r="N8" s="48">
        <v>2</v>
      </c>
      <c r="O8" s="47" t="s">
        <v>82</v>
      </c>
      <c r="P8" s="47" t="s">
        <v>109</v>
      </c>
      <c r="Q8" s="30" t="s">
        <v>67</v>
      </c>
    </row>
    <row r="9" spans="1:18" ht="12.75" x14ac:dyDescent="0.2">
      <c r="A9" s="48">
        <v>3</v>
      </c>
      <c r="B9" s="70" t="str">
        <f ca="1">IFERROR(__xludf.DUMMYFUNCTION("""COMPUTED_VALUE"""),"Киселева Екатерина Дмитриевна")</f>
        <v>Киселева Екатерина Дмитриевна</v>
      </c>
      <c r="C9" s="70"/>
      <c r="D9" s="7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9" s="48">
        <f ca="1">IFERROR(__xludf.DUMMYFUNCTION("""COMPUTED_VALUE"""),8)</f>
        <v>8</v>
      </c>
      <c r="F9" s="70" t="str">
        <f ca="1">IFERROR(__xludf.DUMMYFUNCTION("""COMPUTED_VALUE"""),"Новинкина Светлана Габдулловна")</f>
        <v>Новинкина Светлана Габдулловна</v>
      </c>
      <c r="G9" s="48">
        <f ca="1">IFERROR(__xludf.DUMMYFUNCTION("""COMPUTED_VALUE"""),7)</f>
        <v>7</v>
      </c>
      <c r="H9" s="48">
        <f ca="1">IFERROR(__xludf.DUMMYFUNCTION("""COMPUTED_VALUE"""),20)</f>
        <v>20</v>
      </c>
      <c r="I9" s="48">
        <f ca="1">IFERROR(__xludf.DUMMYFUNCTION("""COMPUTED_VALUE"""),5)</f>
        <v>5</v>
      </c>
      <c r="J9" s="48"/>
      <c r="K9" s="94">
        <f t="shared" ca="1" si="0"/>
        <v>32</v>
      </c>
      <c r="L9" s="95"/>
      <c r="M9" s="69">
        <f t="shared" ca="1" si="1"/>
        <v>32</v>
      </c>
      <c r="N9" s="48">
        <v>3</v>
      </c>
      <c r="O9" s="47" t="s">
        <v>82</v>
      </c>
      <c r="P9" s="47" t="s">
        <v>109</v>
      </c>
      <c r="Q9" s="30" t="s">
        <v>68</v>
      </c>
    </row>
    <row r="10" spans="1:18" ht="12.75" x14ac:dyDescent="0.2">
      <c r="A10" s="48">
        <v>4</v>
      </c>
      <c r="B10" s="70" t="str">
        <f ca="1">IFERROR(__xludf.DUMMYFUNCTION("""COMPUTED_VALUE"""),"Спиридонова Анна Константиновна")</f>
        <v>Спиридонова Анна Константиновна</v>
      </c>
      <c r="C10" s="70"/>
      <c r="D10" s="7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10" s="48">
        <f ca="1">IFERROR(__xludf.DUMMYFUNCTION("""COMPUTED_VALUE"""),8)</f>
        <v>8</v>
      </c>
      <c r="F10" s="70" t="str">
        <f ca="1">IFERROR(__xludf.DUMMYFUNCTION("""COMPUTED_VALUE"""),"Новинкина Светлана Габдулловна")</f>
        <v>Новинкина Светлана Габдулловна</v>
      </c>
      <c r="G10" s="48">
        <f ca="1">IFERROR(__xludf.DUMMYFUNCTION("""COMPUTED_VALUE"""),7)</f>
        <v>7</v>
      </c>
      <c r="H10" s="48">
        <f ca="1">IFERROR(__xludf.DUMMYFUNCTION("""COMPUTED_VALUE"""),20)</f>
        <v>20</v>
      </c>
      <c r="I10" s="48">
        <f ca="1">IFERROR(__xludf.DUMMYFUNCTION("""COMPUTED_VALUE"""),5)</f>
        <v>5</v>
      </c>
      <c r="J10" s="48"/>
      <c r="K10" s="94">
        <f t="shared" ca="1" si="0"/>
        <v>32</v>
      </c>
      <c r="L10" s="95"/>
      <c r="M10" s="69">
        <f t="shared" ca="1" si="1"/>
        <v>32</v>
      </c>
      <c r="N10" s="47">
        <v>4</v>
      </c>
      <c r="O10" s="47" t="s">
        <v>82</v>
      </c>
      <c r="P10" s="47" t="s">
        <v>109</v>
      </c>
    </row>
    <row r="11" spans="1:18" ht="12.75" x14ac:dyDescent="0.2">
      <c r="A11" s="47">
        <v>5</v>
      </c>
      <c r="B11" s="66" t="str">
        <f ca="1">IFERROR(__xludf.DUMMYFUNCTION("""COMPUTED_VALUE"""),"Лыткина Виктория Николаевна")</f>
        <v>Лыткина Виктория Николаевна</v>
      </c>
      <c r="C11" s="66"/>
      <c r="D11" s="66" t="str">
        <f ca="1">IFERROR(__xludf.DUMMYFUNCTION("""COMPUTED_VALUE"""),"МОУ ""СОШ с. Зеленый Дол""")</f>
        <v>МОУ "СОШ с. Зеленый Дол"</v>
      </c>
      <c r="E11" s="47">
        <f ca="1">IFERROR(__xludf.DUMMYFUNCTION("""COMPUTED_VALUE"""),8)</f>
        <v>8</v>
      </c>
      <c r="F11" s="66" t="str">
        <f ca="1">IFERROR(__xludf.DUMMYFUNCTION("""COMPUTED_VALUE"""),"Абдулина Нуржамал Кайруевна")</f>
        <v>Абдулина Нуржамал Кайруевна</v>
      </c>
      <c r="G11" s="47">
        <f ca="1">IFERROR(__xludf.DUMMYFUNCTION("""COMPUTED_VALUE"""),7)</f>
        <v>7</v>
      </c>
      <c r="H11" s="47">
        <f ca="1">IFERROR(__xludf.DUMMYFUNCTION("""COMPUTED_VALUE"""),20)</f>
        <v>20</v>
      </c>
      <c r="I11" s="47">
        <f ca="1">IFERROR(__xludf.DUMMYFUNCTION("""COMPUTED_VALUE"""),5)</f>
        <v>5</v>
      </c>
      <c r="J11" s="47"/>
      <c r="K11" s="94">
        <f t="shared" ca="1" si="0"/>
        <v>32</v>
      </c>
      <c r="L11" s="95"/>
      <c r="M11" s="69">
        <f t="shared" ca="1" si="1"/>
        <v>32</v>
      </c>
      <c r="N11" s="48">
        <v>5</v>
      </c>
      <c r="O11" s="47" t="s">
        <v>82</v>
      </c>
      <c r="P11" s="47" t="s">
        <v>109</v>
      </c>
      <c r="Q11" s="30" t="s">
        <v>91</v>
      </c>
    </row>
    <row r="12" spans="1:18" ht="12.75" x14ac:dyDescent="0.2">
      <c r="A12" s="48">
        <v>6</v>
      </c>
      <c r="B12" s="71" t="str">
        <f ca="1">IFERROR(__xludf.DUMMYFUNCTION("IMPORTRANGE(""https://docs.google.com/spreadsheets/d/16CWr8ky6L0i1S4UOLMYHizeHS6aZnIDEnQPyRJyTpcI/edit#gid=0"", ""СОШ №24!B18:O22"")"),"Арушанова Виктория Эриковна")</f>
        <v>Арушанова Виктория Эриковна</v>
      </c>
      <c r="C12" s="70"/>
      <c r="D12" s="70" t="str">
        <f ca="1">IFERROR(__xludf.DUMMYFUNCTION("""COMPUTED_VALUE"""),"МОУ ""СОШ №24""")</f>
        <v>МОУ "СОШ №24"</v>
      </c>
      <c r="E12" s="48">
        <f ca="1">IFERROR(__xludf.DUMMYFUNCTION("""COMPUTED_VALUE"""),8)</f>
        <v>8</v>
      </c>
      <c r="F12" s="70" t="str">
        <f ca="1">IFERROR(__xludf.DUMMYFUNCTION("""COMPUTED_VALUE"""),"Моисеева Татьяна Владимировна")</f>
        <v>Моисеева Татьяна Владимировна</v>
      </c>
      <c r="G12" s="48">
        <f ca="1">IFERROR(__xludf.DUMMYFUNCTION("""COMPUTED_VALUE"""),8)</f>
        <v>8</v>
      </c>
      <c r="H12" s="48">
        <f ca="1">IFERROR(__xludf.DUMMYFUNCTION("""COMPUTED_VALUE"""),20)</f>
        <v>20</v>
      </c>
      <c r="I12" s="48">
        <f ca="1">IFERROR(__xludf.DUMMYFUNCTION("""COMPUTED_VALUE"""),3)</f>
        <v>3</v>
      </c>
      <c r="J12" s="48"/>
      <c r="K12" s="94">
        <f t="shared" ca="1" si="0"/>
        <v>31</v>
      </c>
      <c r="L12" s="95"/>
      <c r="M12" s="69">
        <f t="shared" ca="1" si="1"/>
        <v>31</v>
      </c>
      <c r="N12" s="48">
        <v>6</v>
      </c>
      <c r="O12" s="47" t="s">
        <v>82</v>
      </c>
      <c r="P12" s="47" t="s">
        <v>109</v>
      </c>
      <c r="Q12" s="30" t="s">
        <v>92</v>
      </c>
    </row>
    <row r="13" spans="1:18" ht="12.75" x14ac:dyDescent="0.2">
      <c r="A13" s="48">
        <v>7</v>
      </c>
      <c r="B13" s="70" t="str">
        <f ca="1">IFERROR(__xludf.DUMMYFUNCTION("""COMPUTED_VALUE"""),"Бубликов Максим Дмитриевич")</f>
        <v>Бубликов Максим Дмитриевич</v>
      </c>
      <c r="C13" s="70"/>
      <c r="D13" s="70" t="str">
        <f ca="1">IFERROR(__xludf.DUMMYFUNCTION("""COMPUTED_VALUE"""),"МОУ ""СОШ №24""")</f>
        <v>МОУ "СОШ №24"</v>
      </c>
      <c r="E13" s="48">
        <f ca="1">IFERROR(__xludf.DUMMYFUNCTION("""COMPUTED_VALUE"""),8)</f>
        <v>8</v>
      </c>
      <c r="F13" s="70" t="str">
        <f ca="1">IFERROR(__xludf.DUMMYFUNCTION("""COMPUTED_VALUE"""),"Моисеева Татьяна Владимировна")</f>
        <v>Моисеева Татьяна Владимировна</v>
      </c>
      <c r="G13" s="48">
        <f ca="1">IFERROR(__xludf.DUMMYFUNCTION("""COMPUTED_VALUE"""),8)</f>
        <v>8</v>
      </c>
      <c r="H13" s="48">
        <f ca="1">IFERROR(__xludf.DUMMYFUNCTION("""COMPUTED_VALUE"""),20)</f>
        <v>20</v>
      </c>
      <c r="I13" s="48">
        <f ca="1">IFERROR(__xludf.DUMMYFUNCTION("""COMPUTED_VALUE"""),3)</f>
        <v>3</v>
      </c>
      <c r="J13" s="48"/>
      <c r="K13" s="94">
        <f t="shared" ca="1" si="0"/>
        <v>31</v>
      </c>
      <c r="L13" s="95"/>
      <c r="M13" s="69">
        <f t="shared" ca="1" si="1"/>
        <v>31</v>
      </c>
      <c r="N13" s="47">
        <v>7</v>
      </c>
      <c r="O13" s="47" t="s">
        <v>82</v>
      </c>
      <c r="P13" s="47" t="s">
        <v>109</v>
      </c>
    </row>
    <row r="14" spans="1:18" ht="12.75" x14ac:dyDescent="0.2">
      <c r="A14" s="47">
        <v>8</v>
      </c>
      <c r="B14" s="70" t="str">
        <f ca="1">IFERROR(__xludf.DUMMYFUNCTION("""COMPUTED_VALUE"""),"Иванов Евгений Владимирович")</f>
        <v>Иванов Евгений Владимирович</v>
      </c>
      <c r="C14" s="70"/>
      <c r="D14" s="70" t="str">
        <f ca="1">IFERROR(__xludf.DUMMYFUNCTION("""COMPUTED_VALUE"""),"МОУ ""СОШ №24""")</f>
        <v>МОУ "СОШ №24"</v>
      </c>
      <c r="E14" s="48">
        <f ca="1">IFERROR(__xludf.DUMMYFUNCTION("""COMPUTED_VALUE"""),8)</f>
        <v>8</v>
      </c>
      <c r="F14" s="70" t="str">
        <f ca="1">IFERROR(__xludf.DUMMYFUNCTION("""COMPUTED_VALUE"""),"Моисеева Татьяна Владимировна")</f>
        <v>Моисеева Татьяна Владимировна</v>
      </c>
      <c r="G14" s="48">
        <f ca="1">IFERROR(__xludf.DUMMYFUNCTION("""COMPUTED_VALUE"""),8)</f>
        <v>8</v>
      </c>
      <c r="H14" s="48">
        <f ca="1">IFERROR(__xludf.DUMMYFUNCTION("""COMPUTED_VALUE"""),20)</f>
        <v>20</v>
      </c>
      <c r="I14" s="48">
        <f ca="1">IFERROR(__xludf.DUMMYFUNCTION("""COMPUTED_VALUE"""),3)</f>
        <v>3</v>
      </c>
      <c r="J14" s="48"/>
      <c r="K14" s="94">
        <f t="shared" ca="1" si="0"/>
        <v>31</v>
      </c>
      <c r="L14" s="95"/>
      <c r="M14" s="69">
        <f t="shared" ca="1" si="1"/>
        <v>31</v>
      </c>
      <c r="N14" s="48">
        <v>8</v>
      </c>
      <c r="O14" s="47" t="s">
        <v>82</v>
      </c>
      <c r="P14" s="47" t="s">
        <v>109</v>
      </c>
      <c r="Q14" s="30" t="s">
        <v>119</v>
      </c>
    </row>
    <row r="15" spans="1:18" ht="12.75" x14ac:dyDescent="0.2">
      <c r="A15" s="48">
        <v>9</v>
      </c>
      <c r="B15" s="66" t="str">
        <f ca="1">IFERROR(__xludf.DUMMYFUNCTION("""COMPUTED_VALUE"""),"Залевский Максим Анатольевич")</f>
        <v>Залевский Максим Анатольевич</v>
      </c>
      <c r="C15" s="66"/>
      <c r="D15" s="66" t="str">
        <f ca="1">IFERROR(__xludf.DUMMYFUNCTION("""COMPUTED_VALUE"""),"МОУ ""СОШ п. Новопушкинское""")</f>
        <v>МОУ "СОШ п. Новопушкинское"</v>
      </c>
      <c r="E15" s="47">
        <f ca="1">IFERROR(__xludf.DUMMYFUNCTION("""COMPUTED_VALUE"""),8)</f>
        <v>8</v>
      </c>
      <c r="F15" s="66" t="str">
        <f ca="1">IFERROR(__xludf.DUMMYFUNCTION("""COMPUTED_VALUE"""),"Юшенова Лариса Николаевна")</f>
        <v>Юшенова Лариса Николаевна</v>
      </c>
      <c r="G15" s="47">
        <f ca="1">IFERROR(__xludf.DUMMYFUNCTION("""COMPUTED_VALUE"""),8)</f>
        <v>8</v>
      </c>
      <c r="H15" s="47">
        <f ca="1">IFERROR(__xludf.DUMMYFUNCTION("""COMPUTED_VALUE"""),18)</f>
        <v>18</v>
      </c>
      <c r="I15" s="47">
        <f ca="1">IFERROR(__xludf.DUMMYFUNCTION("""COMPUTED_VALUE"""),5)</f>
        <v>5</v>
      </c>
      <c r="J15" s="47"/>
      <c r="K15" s="94">
        <f t="shared" ca="1" si="0"/>
        <v>31</v>
      </c>
      <c r="L15" s="95"/>
      <c r="M15" s="69">
        <f t="shared" ca="1" si="1"/>
        <v>31</v>
      </c>
      <c r="N15" s="48">
        <v>9</v>
      </c>
      <c r="O15" s="47" t="s">
        <v>82</v>
      </c>
      <c r="P15" s="47" t="s">
        <v>109</v>
      </c>
      <c r="Q15" s="30" t="s">
        <v>120</v>
      </c>
    </row>
    <row r="16" spans="1:18" ht="12.75" x14ac:dyDescent="0.2">
      <c r="A16" s="48">
        <v>10</v>
      </c>
      <c r="B16" s="66" t="str">
        <f ca="1">IFERROR(__xludf.DUMMYFUNCTION("""COMPUTED_VALUE"""),"Шахова Ксения Александровна")</f>
        <v>Шахова Ксения Александровна</v>
      </c>
      <c r="C16" s="66"/>
      <c r="D16" s="66" t="str">
        <f ca="1">IFERROR(__xludf.DUMMYFUNCTION("""COMPUTED_VALUE"""),"МОУ ""СОШ п. Новопушкинское""")</f>
        <v>МОУ "СОШ п. Новопушкинское"</v>
      </c>
      <c r="E16" s="47">
        <f ca="1">IFERROR(__xludf.DUMMYFUNCTION("""COMPUTED_VALUE"""),8)</f>
        <v>8</v>
      </c>
      <c r="F16" s="66" t="str">
        <f ca="1">IFERROR(__xludf.DUMMYFUNCTION("""COMPUTED_VALUE"""),"Юшенова Лариса Николаевна")</f>
        <v>Юшенова Лариса Николаевна</v>
      </c>
      <c r="G16" s="47">
        <f ca="1">IFERROR(__xludf.DUMMYFUNCTION("""COMPUTED_VALUE"""),7)</f>
        <v>7</v>
      </c>
      <c r="H16" s="47">
        <f ca="1">IFERROR(__xludf.DUMMYFUNCTION("""COMPUTED_VALUE"""),19)</f>
        <v>19</v>
      </c>
      <c r="I16" s="47">
        <f ca="1">IFERROR(__xludf.DUMMYFUNCTION("""COMPUTED_VALUE"""),5)</f>
        <v>5</v>
      </c>
      <c r="J16" s="47"/>
      <c r="K16" s="94">
        <f t="shared" ca="1" si="0"/>
        <v>31</v>
      </c>
      <c r="L16" s="95"/>
      <c r="M16" s="69">
        <f t="shared" ca="1" si="1"/>
        <v>31</v>
      </c>
      <c r="N16" s="47">
        <v>10</v>
      </c>
      <c r="O16" s="47" t="s">
        <v>82</v>
      </c>
      <c r="P16" s="47" t="s">
        <v>109</v>
      </c>
      <c r="Q16" s="30" t="s">
        <v>125</v>
      </c>
    </row>
    <row r="17" spans="1:17" ht="12.75" x14ac:dyDescent="0.2">
      <c r="A17" s="48">
        <v>11</v>
      </c>
      <c r="B17" s="71" t="str">
        <f ca="1">IFERROR(__xludf.DUMMYFUNCTION("IMPORTRANGE(""https://docs.google.com/spreadsheets/d/16CWr8ky6L0i1S4UOLMYHizeHS6aZnIDEnQPyRJyTpcI/edit#gid=0"", ""СОШ №4!B38:O39"")"),"Савельева Арина Александровна")</f>
        <v>Савельева Арина Александровна</v>
      </c>
      <c r="C17" s="66"/>
      <c r="D17" s="66" t="str">
        <f ca="1">IFERROR(__xludf.DUMMYFUNCTION("""COMPUTED_VALUE"""),"МОУ ""СОШ №4""")</f>
        <v>МОУ "СОШ №4"</v>
      </c>
      <c r="E17" s="47">
        <f ca="1">IFERROR(__xludf.DUMMYFUNCTION("""COMPUTED_VALUE"""),8)</f>
        <v>8</v>
      </c>
      <c r="F17" s="66" t="str">
        <f ca="1">IFERROR(__xludf.DUMMYFUNCTION("""COMPUTED_VALUE"""),"Шевченко Татьяна Петровна")</f>
        <v>Шевченко Татьяна Петровна</v>
      </c>
      <c r="G17" s="47">
        <f ca="1">IFERROR(__xludf.DUMMYFUNCTION("""COMPUTED_VALUE"""),6)</f>
        <v>6</v>
      </c>
      <c r="H17" s="47">
        <f ca="1">IFERROR(__xludf.DUMMYFUNCTION("""COMPUTED_VALUE"""),20)</f>
        <v>20</v>
      </c>
      <c r="I17" s="47">
        <f ca="1">IFERROR(__xludf.DUMMYFUNCTION("""COMPUTED_VALUE"""),5)</f>
        <v>5</v>
      </c>
      <c r="J17" s="47"/>
      <c r="K17" s="94">
        <f t="shared" ca="1" si="0"/>
        <v>31</v>
      </c>
      <c r="L17" s="95"/>
      <c r="M17" s="69">
        <f t="shared" ca="1" si="1"/>
        <v>31</v>
      </c>
      <c r="N17" s="48">
        <v>11</v>
      </c>
      <c r="O17" s="47" t="s">
        <v>82</v>
      </c>
      <c r="P17" s="47" t="s">
        <v>109</v>
      </c>
      <c r="Q17" s="30" t="s">
        <v>126</v>
      </c>
    </row>
    <row r="18" spans="1:17" ht="12.75" x14ac:dyDescent="0.2">
      <c r="A18" s="47">
        <v>12</v>
      </c>
      <c r="B18" s="70" t="str">
        <f ca="1">IFERROR(__xludf.DUMMYFUNCTION("""COMPUTED_VALUE"""),"Дробит Кристина Михайловна")</f>
        <v>Дробит Кристина Михайловна</v>
      </c>
      <c r="C18" s="70"/>
      <c r="D18" s="70" t="str">
        <f ca="1">IFERROR(__xludf.DUMMYFUNCTION("""COMPUTED_VALUE"""),"МОУ ""СОШ №1""")</f>
        <v>МОУ "СОШ №1"</v>
      </c>
      <c r="E18" s="48">
        <f ca="1">IFERROR(__xludf.DUMMYFUNCTION("""COMPUTED_VALUE"""),8)</f>
        <v>8</v>
      </c>
      <c r="F18" s="70" t="str">
        <f ca="1">IFERROR(__xludf.DUMMYFUNCTION("""COMPUTED_VALUE"""),"Решетникова Светлана Евгеньевна")</f>
        <v>Решетникова Светлана Евгеньевна</v>
      </c>
      <c r="G18" s="48">
        <f ca="1">IFERROR(__xludf.DUMMYFUNCTION("""COMPUTED_VALUE"""),7)</f>
        <v>7</v>
      </c>
      <c r="H18" s="48">
        <v>20</v>
      </c>
      <c r="I18" s="48">
        <v>3</v>
      </c>
      <c r="J18" s="48"/>
      <c r="K18" s="94">
        <f t="shared" ca="1" si="0"/>
        <v>30</v>
      </c>
      <c r="L18" s="70"/>
      <c r="M18" s="69">
        <f t="shared" ca="1" si="1"/>
        <v>30</v>
      </c>
      <c r="N18" s="48">
        <v>12</v>
      </c>
      <c r="O18" s="47" t="s">
        <v>82</v>
      </c>
      <c r="P18" s="47" t="s">
        <v>109</v>
      </c>
    </row>
    <row r="19" spans="1:17" ht="12.75" x14ac:dyDescent="0.2">
      <c r="A19" s="48">
        <v>13</v>
      </c>
      <c r="B19" s="66" t="str">
        <f ca="1">IFERROR(__xludf.DUMMYFUNCTION("""COMPUTED_VALUE"""),"Некрасова Александра Павловна")</f>
        <v>Некрасова Александра Павловна</v>
      </c>
      <c r="C19" s="66"/>
      <c r="D19" s="66" t="str">
        <f ca="1">IFERROR(__xludf.DUMMYFUNCTION("""COMPUTED_VALUE"""),"МАОУ ""ООШ с. Степное""")</f>
        <v>МАОУ "ООШ с. Степное"</v>
      </c>
      <c r="E19" s="47">
        <f ca="1">IFERROR(__xludf.DUMMYFUNCTION("""COMPUTED_VALUE"""),8)</f>
        <v>8</v>
      </c>
      <c r="F19" s="66" t="str">
        <f ca="1">IFERROR(__xludf.DUMMYFUNCTION("""COMPUTED_VALUE"""),"Макарова Зухра Амирджановна")</f>
        <v>Макарова Зухра Амирджановна</v>
      </c>
      <c r="G19" s="47">
        <f ca="1">IFERROR(__xludf.DUMMYFUNCTION("""COMPUTED_VALUE"""),5)</f>
        <v>5</v>
      </c>
      <c r="H19" s="47">
        <f ca="1">IFERROR(__xludf.DUMMYFUNCTION("""COMPUTED_VALUE"""),20)</f>
        <v>20</v>
      </c>
      <c r="I19" s="47">
        <f ca="1">IFERROR(__xludf.DUMMYFUNCTION("""COMPUTED_VALUE"""),5)</f>
        <v>5</v>
      </c>
      <c r="J19" s="47"/>
      <c r="K19" s="94">
        <f t="shared" ca="1" si="0"/>
        <v>30</v>
      </c>
      <c r="L19" s="70"/>
      <c r="M19" s="69">
        <f t="shared" ca="1" si="1"/>
        <v>30</v>
      </c>
      <c r="N19" s="47">
        <v>13</v>
      </c>
      <c r="O19" s="47" t="s">
        <v>82</v>
      </c>
      <c r="P19" s="47" t="s">
        <v>109</v>
      </c>
    </row>
    <row r="20" spans="1:17" ht="12.75" x14ac:dyDescent="0.2">
      <c r="A20" s="48">
        <v>14</v>
      </c>
      <c r="B20" s="70" t="str">
        <f ca="1">IFERROR(__xludf.DUMMYFUNCTION("""COMPUTED_VALUE"""),"Тарабрин Дмитрий Витальевич")</f>
        <v>Тарабрин Дмитрий Витальевич</v>
      </c>
      <c r="C20" s="70"/>
      <c r="D20" s="70" t="str">
        <f ca="1">IFERROR(__xludf.DUMMYFUNCTION("""COMPUTED_VALUE"""),"МОУ ""СОШ №19""")</f>
        <v>МОУ "СОШ №19"</v>
      </c>
      <c r="E20" s="48">
        <f ca="1">IFERROR(__xludf.DUMMYFUNCTION("""COMPUTED_VALUE"""),8)</f>
        <v>8</v>
      </c>
      <c r="F20" s="70" t="str">
        <f ca="1">IFERROR(__xludf.DUMMYFUNCTION("""COMPUTED_VALUE"""),"Карташова Анна Александровна")</f>
        <v>Карташова Анна Александровна</v>
      </c>
      <c r="G20" s="48">
        <v>8</v>
      </c>
      <c r="H20" s="48">
        <v>18</v>
      </c>
      <c r="I20" s="48">
        <v>4</v>
      </c>
      <c r="J20" s="48"/>
      <c r="K20" s="94">
        <f t="shared" si="0"/>
        <v>30</v>
      </c>
      <c r="L20" s="70"/>
      <c r="M20" s="69">
        <f t="shared" si="1"/>
        <v>30</v>
      </c>
      <c r="N20" s="48">
        <v>14</v>
      </c>
      <c r="O20" s="47" t="s">
        <v>82</v>
      </c>
      <c r="P20" s="47" t="s">
        <v>109</v>
      </c>
    </row>
    <row r="21" spans="1:17" ht="12.75" x14ac:dyDescent="0.2">
      <c r="A21" s="47">
        <v>15</v>
      </c>
      <c r="B21" s="70" t="str">
        <f ca="1">IFERROR(__xludf.DUMMYFUNCTION("""COMPUTED_VALUE"""),"Козляковская Елизавета Дмитриевна")</f>
        <v>Козляковская Елизавета Дмитриевна</v>
      </c>
      <c r="C21" s="70"/>
      <c r="D21" s="70" t="str">
        <f ca="1">IFERROR(__xludf.DUMMYFUNCTION("""COMPUTED_VALUE"""),"МОУ ""СОШ №33""")</f>
        <v>МОУ "СОШ №33"</v>
      </c>
      <c r="E21" s="48">
        <f ca="1">IFERROR(__xludf.DUMMYFUNCTION("""COMPUTED_VALUE"""),8)</f>
        <v>8</v>
      </c>
      <c r="F21" s="70" t="str">
        <f ca="1">IFERROR(__xludf.DUMMYFUNCTION("""COMPUTED_VALUE"""),"Сибряева Надежда Васильевна")</f>
        <v>Сибряева Надежда Васильевна</v>
      </c>
      <c r="G21" s="48">
        <f ca="1">IFERROR(__xludf.DUMMYFUNCTION("""COMPUTED_VALUE"""),7)</f>
        <v>7</v>
      </c>
      <c r="H21" s="48">
        <f ca="1">IFERROR(__xludf.DUMMYFUNCTION("""COMPUTED_VALUE"""),19)</f>
        <v>19</v>
      </c>
      <c r="I21" s="48">
        <f ca="1">IFERROR(__xludf.DUMMYFUNCTION("""COMPUTED_VALUE"""),4)</f>
        <v>4</v>
      </c>
      <c r="J21" s="48"/>
      <c r="K21" s="94">
        <f t="shared" ca="1" si="0"/>
        <v>30</v>
      </c>
      <c r="L21" s="95"/>
      <c r="M21" s="69">
        <f t="shared" ca="1" si="1"/>
        <v>30</v>
      </c>
      <c r="N21" s="48">
        <v>15</v>
      </c>
      <c r="O21" s="47" t="s">
        <v>82</v>
      </c>
      <c r="P21" s="47" t="s">
        <v>109</v>
      </c>
    </row>
    <row r="22" spans="1:17" ht="12.75" x14ac:dyDescent="0.2">
      <c r="A22" s="48">
        <v>16</v>
      </c>
      <c r="B22" s="70" t="str">
        <f ca="1">IFERROR(__xludf.DUMMYFUNCTION("""COMPUTED_VALUE"""),"Якушина Варвара Никитична")</f>
        <v>Якушина Варвара Никитична</v>
      </c>
      <c r="C22" s="70"/>
      <c r="D22" s="70" t="str">
        <f ca="1">IFERROR(__xludf.DUMMYFUNCTION("""COMPUTED_VALUE"""),"МОУ ""МЭЛ им. Шнитке А.Г.""")</f>
        <v>МОУ "МЭЛ им. Шнитке А.Г."</v>
      </c>
      <c r="E22" s="48">
        <f ca="1">IFERROR(__xludf.DUMMYFUNCTION("""COMPUTED_VALUE"""),8)</f>
        <v>8</v>
      </c>
      <c r="F22" s="70" t="str">
        <f ca="1">IFERROR(__xludf.DUMMYFUNCTION("""COMPUTED_VALUE"""),"Мотавкина Светлана Сергеевна")</f>
        <v>Мотавкина Светлана Сергеевна</v>
      </c>
      <c r="G22" s="48">
        <f ca="1">IFERROR(__xludf.DUMMYFUNCTION("""COMPUTED_VALUE"""),7)</f>
        <v>7</v>
      </c>
      <c r="H22" s="48">
        <f ca="1">IFERROR(__xludf.DUMMYFUNCTION("""COMPUTED_VALUE"""),18)</f>
        <v>18</v>
      </c>
      <c r="I22" s="48">
        <f ca="1">IFERROR(__xludf.DUMMYFUNCTION("""COMPUTED_VALUE"""),5)</f>
        <v>5</v>
      </c>
      <c r="J22" s="48"/>
      <c r="K22" s="94">
        <f t="shared" ca="1" si="0"/>
        <v>30</v>
      </c>
      <c r="L22" s="95"/>
      <c r="M22" s="69">
        <f t="shared" ca="1" si="1"/>
        <v>30</v>
      </c>
      <c r="N22" s="47">
        <v>16</v>
      </c>
      <c r="O22" s="47" t="s">
        <v>82</v>
      </c>
      <c r="P22" s="47" t="s">
        <v>109</v>
      </c>
    </row>
    <row r="23" spans="1:17" ht="12.75" x14ac:dyDescent="0.2">
      <c r="A23" s="48">
        <v>17</v>
      </c>
      <c r="B23" s="71" t="str">
        <f ca="1">IFERROR(__xludf.DUMMYFUNCTION("IMPORTRANGE(""https://docs.google.com/spreadsheets/d/16CWr8ky6L0i1S4UOLMYHizeHS6aZnIDEnQPyRJyTpcI/edit#gid=0"", ""СОШ с. Зеленый Дол!B18:O22"")"),"Джумаева Эльвина Магеррамовна")</f>
        <v>Джумаева Эльвина Магеррамовна</v>
      </c>
      <c r="C23" s="66"/>
      <c r="D23" s="66" t="str">
        <f ca="1">IFERROR(__xludf.DUMMYFUNCTION("""COMPUTED_VALUE"""),"МОУ ""СОШ с. Зеленый Дол""")</f>
        <v>МОУ "СОШ с. Зеленый Дол"</v>
      </c>
      <c r="E23" s="47">
        <f ca="1">IFERROR(__xludf.DUMMYFUNCTION("""COMPUTED_VALUE"""),8)</f>
        <v>8</v>
      </c>
      <c r="F23" s="66" t="str">
        <f ca="1">IFERROR(__xludf.DUMMYFUNCTION("""COMPUTED_VALUE"""),"Абдулина Нуржамал Кайруевна")</f>
        <v>Абдулина Нуржамал Кайруевна</v>
      </c>
      <c r="G23" s="47">
        <f ca="1">IFERROR(__xludf.DUMMYFUNCTION("""COMPUTED_VALUE"""),10)</f>
        <v>10</v>
      </c>
      <c r="H23" s="47">
        <f ca="1">IFERROR(__xludf.DUMMYFUNCTION("""COMPUTED_VALUE"""),19)</f>
        <v>19</v>
      </c>
      <c r="I23" s="47">
        <f ca="1">IFERROR(__xludf.DUMMYFUNCTION("""COMPUTED_VALUE"""),1)</f>
        <v>1</v>
      </c>
      <c r="J23" s="47"/>
      <c r="K23" s="94">
        <f t="shared" ca="1" si="0"/>
        <v>30</v>
      </c>
      <c r="L23" s="95"/>
      <c r="M23" s="69">
        <f t="shared" ca="1" si="1"/>
        <v>30</v>
      </c>
      <c r="N23" s="48">
        <v>17</v>
      </c>
      <c r="O23" s="47" t="s">
        <v>82</v>
      </c>
      <c r="P23" s="47" t="s">
        <v>109</v>
      </c>
    </row>
    <row r="24" spans="1:17" ht="12.75" x14ac:dyDescent="0.2">
      <c r="A24" s="48">
        <v>18</v>
      </c>
      <c r="B24" s="70" t="str">
        <f ca="1">IFERROR(__xludf.DUMMYFUNCTION("""COMPUTED_VALUE"""),"Смирнова Анастасия Николаевна")</f>
        <v>Смирнова Анастасия Николаевна</v>
      </c>
      <c r="C24" s="70"/>
      <c r="D24" s="70" t="str">
        <f ca="1">IFERROR(__xludf.DUMMYFUNCTION("""COMPUTED_VALUE"""),"МОУ ""СОШ №1""")</f>
        <v>МОУ "СОШ №1"</v>
      </c>
      <c r="E24" s="48">
        <f ca="1">IFERROR(__xludf.DUMMYFUNCTION("""COMPUTED_VALUE"""),8)</f>
        <v>8</v>
      </c>
      <c r="F24" s="70" t="str">
        <f ca="1">IFERROR(__xludf.DUMMYFUNCTION("""COMPUTED_VALUE"""),"Борцова Оксана Юрьевна")</f>
        <v>Борцова Оксана Юрьевна</v>
      </c>
      <c r="G24" s="48">
        <f ca="1">IFERROR(__xludf.DUMMYFUNCTION("""COMPUTED_VALUE"""),9)</f>
        <v>9</v>
      </c>
      <c r="H24" s="48">
        <v>16</v>
      </c>
      <c r="I24" s="48">
        <v>4</v>
      </c>
      <c r="J24" s="48"/>
      <c r="K24" s="94">
        <f t="shared" ca="1" si="0"/>
        <v>29</v>
      </c>
      <c r="L24" s="70"/>
      <c r="M24" s="69">
        <f t="shared" ca="1" si="1"/>
        <v>29</v>
      </c>
      <c r="N24" s="48">
        <v>18</v>
      </c>
      <c r="O24" s="47" t="s">
        <v>82</v>
      </c>
      <c r="P24" s="47" t="s">
        <v>109</v>
      </c>
    </row>
    <row r="25" spans="1:17" ht="12.75" x14ac:dyDescent="0.2">
      <c r="A25" s="47">
        <v>19</v>
      </c>
      <c r="B25" s="71" t="str">
        <f ca="1">IFERROR(__xludf.DUMMYFUNCTION("IMPORTRANGE(""https://docs.google.com/spreadsheets/d/16CWr8ky6L0i1S4UOLMYHizeHS6aZnIDEnQPyRJyTpcI/edit#gid=0"", ""СОШ с. Березовка!B18:O22"")"),"Бадриев Данил Маратович")</f>
        <v>Бадриев Данил Маратович</v>
      </c>
      <c r="C25" s="66"/>
      <c r="D25" s="66" t="str">
        <f ca="1">IFERROR(__xludf.DUMMYFUNCTION("""COMPUTED_VALUE"""),"МОУ ""СОШ с. Березовка""")</f>
        <v>МОУ "СОШ с. Березовка"</v>
      </c>
      <c r="E25" s="47">
        <f ca="1">IFERROR(__xludf.DUMMYFUNCTION("""COMPUTED_VALUE"""),8)</f>
        <v>8</v>
      </c>
      <c r="F25" s="66" t="str">
        <f ca="1">IFERROR(__xludf.DUMMYFUNCTION("""COMPUTED_VALUE"""),"Турсумбек Нагима Айгалиевна ")</f>
        <v xml:space="preserve">Турсумбек Нагима Айгалиевна </v>
      </c>
      <c r="G25" s="47">
        <f ca="1">IFERROR(__xludf.DUMMYFUNCTION("""COMPUTED_VALUE"""),6)</f>
        <v>6</v>
      </c>
      <c r="H25" s="47">
        <f ca="1">IFERROR(__xludf.DUMMYFUNCTION("""COMPUTED_VALUE"""),18)</f>
        <v>18</v>
      </c>
      <c r="I25" s="47">
        <f ca="1">IFERROR(__xludf.DUMMYFUNCTION("""COMPUTED_VALUE"""),5)</f>
        <v>5</v>
      </c>
      <c r="J25" s="47"/>
      <c r="K25" s="94">
        <f t="shared" ca="1" si="0"/>
        <v>29</v>
      </c>
      <c r="L25" s="95"/>
      <c r="M25" s="69">
        <f t="shared" ca="1" si="1"/>
        <v>29</v>
      </c>
      <c r="N25" s="47">
        <v>19</v>
      </c>
      <c r="O25" s="47" t="s">
        <v>82</v>
      </c>
      <c r="P25" s="47" t="s">
        <v>109</v>
      </c>
    </row>
    <row r="26" spans="1:17" ht="12.75" x14ac:dyDescent="0.2">
      <c r="A26" s="48">
        <v>20</v>
      </c>
      <c r="B26" s="66" t="str">
        <f ca="1">IFERROR(__xludf.DUMMYFUNCTION("""COMPUTED_VALUE"""),"Денисов Семен Константинович")</f>
        <v>Денисов Семен Константинович</v>
      </c>
      <c r="C26" s="66"/>
      <c r="D26" s="66" t="str">
        <f ca="1">IFERROR(__xludf.DUMMYFUNCTION("""COMPUTED_VALUE"""),"МОУ ""СОШ с. Березовка""")</f>
        <v>МОУ "СОШ с. Березовка"</v>
      </c>
      <c r="E26" s="47">
        <f ca="1">IFERROR(__xludf.DUMMYFUNCTION("""COMPUTED_VALUE"""),8)</f>
        <v>8</v>
      </c>
      <c r="F26" s="66" t="str">
        <f ca="1">IFERROR(__xludf.DUMMYFUNCTION("""COMPUTED_VALUE"""),"Турсумбек Нагима Айгалиевна ")</f>
        <v xml:space="preserve">Турсумбек Нагима Айгалиевна </v>
      </c>
      <c r="G26" s="47">
        <f ca="1">IFERROR(__xludf.DUMMYFUNCTION("""COMPUTED_VALUE"""),7)</f>
        <v>7</v>
      </c>
      <c r="H26" s="47">
        <f ca="1">IFERROR(__xludf.DUMMYFUNCTION("""COMPUTED_VALUE"""),18)</f>
        <v>18</v>
      </c>
      <c r="I26" s="47">
        <f ca="1">IFERROR(__xludf.DUMMYFUNCTION("""COMPUTED_VALUE"""),4)</f>
        <v>4</v>
      </c>
      <c r="J26" s="47"/>
      <c r="K26" s="94">
        <f t="shared" ca="1" si="0"/>
        <v>29</v>
      </c>
      <c r="L26" s="95"/>
      <c r="M26" s="69">
        <f t="shared" ca="1" si="1"/>
        <v>29</v>
      </c>
      <c r="N26" s="48">
        <v>20</v>
      </c>
      <c r="O26" s="47" t="s">
        <v>82</v>
      </c>
      <c r="P26" s="47" t="s">
        <v>109</v>
      </c>
    </row>
    <row r="27" spans="1:17" ht="12.75" x14ac:dyDescent="0.2">
      <c r="A27" s="48">
        <v>21</v>
      </c>
      <c r="B27" s="66" t="str">
        <f ca="1">IFERROR(__xludf.DUMMYFUNCTION("""COMPUTED_VALUE"""),"Пяк Валерия Дмитриевна")</f>
        <v>Пяк Валерия Дмитриевна</v>
      </c>
      <c r="C27" s="66"/>
      <c r="D27" s="66" t="str">
        <f ca="1">IFERROR(__xludf.DUMMYFUNCTION("""COMPUTED_VALUE"""),"МОУ ""СОШ с. Березовка""")</f>
        <v>МОУ "СОШ с. Березовка"</v>
      </c>
      <c r="E27" s="47">
        <f ca="1">IFERROR(__xludf.DUMMYFUNCTION("""COMPUTED_VALUE"""),8)</f>
        <v>8</v>
      </c>
      <c r="F27" s="66" t="str">
        <f ca="1">IFERROR(__xludf.DUMMYFUNCTION("""COMPUTED_VALUE"""),"Турсумбек Нагима Айгалиевна ")</f>
        <v xml:space="preserve">Турсумбек Нагима Айгалиевна </v>
      </c>
      <c r="G27" s="47">
        <f ca="1">IFERROR(__xludf.DUMMYFUNCTION("""COMPUTED_VALUE"""),6)</f>
        <v>6</v>
      </c>
      <c r="H27" s="47">
        <f ca="1">IFERROR(__xludf.DUMMYFUNCTION("""COMPUTED_VALUE"""),18)</f>
        <v>18</v>
      </c>
      <c r="I27" s="47">
        <f ca="1">IFERROR(__xludf.DUMMYFUNCTION("""COMPUTED_VALUE"""),5)</f>
        <v>5</v>
      </c>
      <c r="J27" s="47"/>
      <c r="K27" s="94">
        <f t="shared" ca="1" si="0"/>
        <v>29</v>
      </c>
      <c r="L27" s="95"/>
      <c r="M27" s="69">
        <f t="shared" ca="1" si="1"/>
        <v>29</v>
      </c>
      <c r="N27" s="48">
        <v>21</v>
      </c>
      <c r="O27" s="47" t="s">
        <v>82</v>
      </c>
      <c r="P27" s="47" t="s">
        <v>109</v>
      </c>
    </row>
    <row r="28" spans="1:17" ht="12.75" x14ac:dyDescent="0.2">
      <c r="A28" s="47">
        <v>22</v>
      </c>
      <c r="B28" s="66" t="str">
        <f ca="1">IFERROR(__xludf.DUMMYFUNCTION("""COMPUTED_VALUE"""),"Ильина Карина Станиславовна")</f>
        <v>Ильина Карина Станиславовна</v>
      </c>
      <c r="C28" s="66"/>
      <c r="D28" s="66" t="str">
        <f ca="1">IFERROR(__xludf.DUMMYFUNCTION("""COMPUTED_VALUE"""),"МОУ ""ООШ с. Ленинское""")</f>
        <v>МОУ "ООШ с. Ленинское"</v>
      </c>
      <c r="E28" s="47">
        <f ca="1">IFERROR(__xludf.DUMMYFUNCTION("""COMPUTED_VALUE"""),8)</f>
        <v>8</v>
      </c>
      <c r="F28" s="66" t="str">
        <f ca="1">IFERROR(__xludf.DUMMYFUNCTION("""COMPUTED_VALUE"""),"Савиных Людмила Васильевна")</f>
        <v>Савиных Людмила Васильевна</v>
      </c>
      <c r="G28" s="47">
        <f ca="1">IFERROR(__xludf.DUMMYFUNCTION("""COMPUTED_VALUE"""),8)</f>
        <v>8</v>
      </c>
      <c r="H28" s="47">
        <v>20</v>
      </c>
      <c r="I28" s="47">
        <v>1</v>
      </c>
      <c r="J28" s="47"/>
      <c r="K28" s="94">
        <f t="shared" ca="1" si="0"/>
        <v>29</v>
      </c>
      <c r="L28" s="70"/>
      <c r="M28" s="69">
        <f t="shared" ca="1" si="1"/>
        <v>29</v>
      </c>
      <c r="N28" s="47">
        <v>22</v>
      </c>
      <c r="O28" s="47" t="s">
        <v>82</v>
      </c>
      <c r="P28" s="47" t="s">
        <v>109</v>
      </c>
    </row>
    <row r="29" spans="1:17" ht="12.75" x14ac:dyDescent="0.2">
      <c r="A29" s="48">
        <v>23</v>
      </c>
      <c r="B29" s="66" t="str">
        <f ca="1">IFERROR(__xludf.DUMMYFUNCTION("""COMPUTED_VALUE"""),"Долина Ксения Алексеевна")</f>
        <v>Долина Ксения Алексеевна</v>
      </c>
      <c r="C29" s="66"/>
      <c r="D29" s="66" t="str">
        <f ca="1">IFERROR(__xludf.DUMMYFUNCTION("""COMPUTED_VALUE"""),"МОУ ""СОШ №4""")</f>
        <v>МОУ "СОШ №4"</v>
      </c>
      <c r="E29" s="47">
        <f ca="1">IFERROR(__xludf.DUMMYFUNCTION("""COMPUTED_VALUE"""),8)</f>
        <v>8</v>
      </c>
      <c r="F29" s="66" t="str">
        <f ca="1">IFERROR(__xludf.DUMMYFUNCTION("""COMPUTED_VALUE"""),"Шевченко Татьяна Петровна")</f>
        <v>Шевченко Татьяна Петровна</v>
      </c>
      <c r="G29" s="47">
        <f ca="1">IFERROR(__xludf.DUMMYFUNCTION("""COMPUTED_VALUE"""),7)</f>
        <v>7</v>
      </c>
      <c r="H29" s="47">
        <f ca="1">IFERROR(__xludf.DUMMYFUNCTION("""COMPUTED_VALUE"""),17)</f>
        <v>17</v>
      </c>
      <c r="I29" s="47">
        <f ca="1">IFERROR(__xludf.DUMMYFUNCTION("""COMPUTED_VALUE"""),5)</f>
        <v>5</v>
      </c>
      <c r="J29" s="47"/>
      <c r="K29" s="94">
        <f t="shared" ca="1" si="0"/>
        <v>29</v>
      </c>
      <c r="L29" s="95"/>
      <c r="M29" s="69">
        <f t="shared" ca="1" si="1"/>
        <v>29</v>
      </c>
      <c r="N29" s="48">
        <v>23</v>
      </c>
      <c r="O29" s="47" t="s">
        <v>82</v>
      </c>
      <c r="P29" s="47" t="s">
        <v>109</v>
      </c>
    </row>
    <row r="30" spans="1:17" ht="12.75" x14ac:dyDescent="0.2">
      <c r="A30" s="48">
        <v>24</v>
      </c>
      <c r="B30" s="66" t="str">
        <f ca="1">IFERROR(__xludf.DUMMYFUNCTION("""COMPUTED_VALUE"""),"Максимова Вероника Юрьевна")</f>
        <v>Максимова Вероника Юрьевна</v>
      </c>
      <c r="C30" s="66"/>
      <c r="D30" s="66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0" s="47">
        <f ca="1">IFERROR(__xludf.DUMMYFUNCTION("""COMPUTED_VALUE"""),8)</f>
        <v>8</v>
      </c>
      <c r="F30" s="66" t="str">
        <f ca="1">IFERROR(__xludf.DUMMYFUNCTION("""COMPUTED_VALUE"""),"Языкова Светлана Александровна")</f>
        <v>Языкова Светлана Александровна</v>
      </c>
      <c r="G30" s="47">
        <f ca="1">IFERROR(__xludf.DUMMYFUNCTION("""COMPUTED_VALUE"""),7)</f>
        <v>7</v>
      </c>
      <c r="H30" s="47">
        <f ca="1">IFERROR(__xludf.DUMMYFUNCTION("""COMPUTED_VALUE"""),20)</f>
        <v>20</v>
      </c>
      <c r="I30" s="47">
        <f ca="1">IFERROR(__xludf.DUMMYFUNCTION("""COMPUTED_VALUE"""),2)</f>
        <v>2</v>
      </c>
      <c r="J30" s="47"/>
      <c r="K30" s="94">
        <f t="shared" ca="1" si="0"/>
        <v>29</v>
      </c>
      <c r="L30" s="95"/>
      <c r="M30" s="69">
        <f t="shared" ca="1" si="1"/>
        <v>29</v>
      </c>
      <c r="N30" s="48">
        <v>24</v>
      </c>
      <c r="O30" s="47" t="s">
        <v>82</v>
      </c>
      <c r="P30" s="47" t="s">
        <v>109</v>
      </c>
    </row>
    <row r="31" spans="1:17" ht="12.75" x14ac:dyDescent="0.2">
      <c r="A31" s="48">
        <v>25</v>
      </c>
      <c r="B31" s="70" t="str">
        <f ca="1">IFERROR(__xludf.DUMMYFUNCTION("""COMPUTED_VALUE"""),"Алдакимова Виктория Алексеевна")</f>
        <v>Алдакимова Виктория Алексеевна</v>
      </c>
      <c r="C31" s="70"/>
      <c r="D31" s="70" t="str">
        <f ca="1">IFERROR(__xludf.DUMMYFUNCTION("""COMPUTED_VALUE"""),"МОУ ""СОШ №4""")</f>
        <v>МОУ "СОШ №4"</v>
      </c>
      <c r="E31" s="48">
        <f ca="1">IFERROR(__xludf.DUMMYFUNCTION("""COMPUTED_VALUE"""),8)</f>
        <v>8</v>
      </c>
      <c r="F31" s="70" t="str">
        <f ca="1">IFERROR(__xludf.DUMMYFUNCTION("""COMPUTED_VALUE"""),"Шевченко Татьяна Петровна")</f>
        <v>Шевченко Татьяна Петровна</v>
      </c>
      <c r="G31" s="48">
        <f ca="1">IFERROR(__xludf.DUMMYFUNCTION("""COMPUTED_VALUE"""),6)</f>
        <v>6</v>
      </c>
      <c r="H31" s="48">
        <f ca="1">IFERROR(__xludf.DUMMYFUNCTION("""COMPUTED_VALUE"""),17)</f>
        <v>17</v>
      </c>
      <c r="I31" s="48">
        <f ca="1">IFERROR(__xludf.DUMMYFUNCTION("""COMPUTED_VALUE"""),5)</f>
        <v>5</v>
      </c>
      <c r="J31" s="48"/>
      <c r="K31" s="94">
        <f t="shared" ca="1" si="0"/>
        <v>28</v>
      </c>
      <c r="L31" s="95"/>
      <c r="M31" s="69">
        <f t="shared" ca="1" si="1"/>
        <v>28</v>
      </c>
      <c r="N31" s="47">
        <v>25</v>
      </c>
      <c r="O31" s="47" t="s">
        <v>82</v>
      </c>
      <c r="P31" s="48"/>
    </row>
    <row r="32" spans="1:17" ht="12.75" x14ac:dyDescent="0.2">
      <c r="A32" s="47">
        <v>26</v>
      </c>
      <c r="B32" s="70" t="str">
        <f ca="1">IFERROR(__xludf.DUMMYFUNCTION("""COMPUTED_VALUE"""),"Кондратьев Кирилл Андреевич")</f>
        <v>Кондратьев Кирилл Андреевич</v>
      </c>
      <c r="C32" s="70"/>
      <c r="D32" s="70" t="str">
        <f ca="1">IFERROR(__xludf.DUMMYFUNCTION("""COMPUTED_VALUE"""),"МОУ ""СОШ №9""")</f>
        <v>МОУ "СОШ №9"</v>
      </c>
      <c r="E32" s="48">
        <f ca="1">IFERROR(__xludf.DUMMYFUNCTION("""COMPUTED_VALUE"""),8)</f>
        <v>8</v>
      </c>
      <c r="F32" s="70" t="str">
        <f ca="1">IFERROR(__xludf.DUMMYFUNCTION("""COMPUTED_VALUE"""),"Головчанская Наталия Евгеньевна")</f>
        <v>Головчанская Наталия Евгеньевна</v>
      </c>
      <c r="G32" s="48">
        <f ca="1">IFERROR(__xludf.DUMMYFUNCTION("""COMPUTED_VALUE"""),7)</f>
        <v>7</v>
      </c>
      <c r="H32" s="48">
        <f ca="1">IFERROR(__xludf.DUMMYFUNCTION("""COMPUTED_VALUE"""),20)</f>
        <v>20</v>
      </c>
      <c r="I32" s="48">
        <f ca="1">IFERROR(__xludf.DUMMYFUNCTION("""COMPUTED_VALUE"""),1)</f>
        <v>1</v>
      </c>
      <c r="J32" s="48"/>
      <c r="K32" s="94">
        <f t="shared" ca="1" si="0"/>
        <v>28</v>
      </c>
      <c r="L32" s="95"/>
      <c r="M32" s="69">
        <f t="shared" ca="1" si="1"/>
        <v>28</v>
      </c>
      <c r="N32" s="48">
        <v>26</v>
      </c>
      <c r="O32" s="47" t="s">
        <v>82</v>
      </c>
      <c r="P32" s="48"/>
    </row>
    <row r="33" spans="1:16" ht="12.75" x14ac:dyDescent="0.2">
      <c r="A33" s="48">
        <v>27</v>
      </c>
      <c r="B33" s="70" t="str">
        <f ca="1">IFERROR(__xludf.DUMMYFUNCTION("""COMPUTED_VALUE"""),"Беляева Анастасия Дмитриевна")</f>
        <v>Беляева Анастасия Дмитриевна</v>
      </c>
      <c r="C33" s="70"/>
      <c r="D33" s="70" t="str">
        <f ca="1">IFERROR(__xludf.DUMMYFUNCTION("""COMPUTED_VALUE"""),"МОУ ""ООШ№10""")</f>
        <v>МОУ "ООШ№10"</v>
      </c>
      <c r="E33" s="48">
        <f ca="1">IFERROR(__xludf.DUMMYFUNCTION("""COMPUTED_VALUE"""),8)</f>
        <v>8</v>
      </c>
      <c r="F33" s="70" t="str">
        <f ca="1">IFERROR(__xludf.DUMMYFUNCTION("""COMPUTED_VALUE"""),"Бузюрова Оксана Васильевна")</f>
        <v>Бузюрова Оксана Васильевна</v>
      </c>
      <c r="G33" s="48">
        <f ca="1">IFERROR(__xludf.DUMMYFUNCTION("""COMPUTED_VALUE"""),6)</f>
        <v>6</v>
      </c>
      <c r="H33" s="48">
        <f ca="1">IFERROR(__xludf.DUMMYFUNCTION("""COMPUTED_VALUE"""),19)</f>
        <v>19</v>
      </c>
      <c r="I33" s="48">
        <f ca="1">IFERROR(__xludf.DUMMYFUNCTION("""COMPUTED_VALUE"""),3)</f>
        <v>3</v>
      </c>
      <c r="J33" s="48"/>
      <c r="K33" s="94">
        <f t="shared" ca="1" si="0"/>
        <v>28</v>
      </c>
      <c r="L33" s="95"/>
      <c r="M33" s="69">
        <f t="shared" ca="1" si="1"/>
        <v>28</v>
      </c>
      <c r="N33" s="48">
        <v>27</v>
      </c>
      <c r="O33" s="47" t="s">
        <v>82</v>
      </c>
      <c r="P33" s="48"/>
    </row>
    <row r="34" spans="1:16" ht="12.75" x14ac:dyDescent="0.2">
      <c r="A34" s="48">
        <v>28</v>
      </c>
      <c r="B34" s="70" t="str">
        <f ca="1">IFERROR(__xludf.DUMMYFUNCTION("IMPORTRANGE(""https://docs.google.com/spreadsheets/d/16CWr8ky6L0i1S4UOLMYHizeHS6aZnIDEnQPyRJyTpcI/edit#gid=0"", ""СОШ №31!B18:O22"")"),"Савран Марина ")</f>
        <v xml:space="preserve">Савран Марина </v>
      </c>
      <c r="C34" s="70"/>
      <c r="D34" s="70" t="str">
        <f ca="1">IFERROR(__xludf.DUMMYFUNCTION("""COMPUTED_VALUE"""),"МОУ ""СОШ №31""")</f>
        <v>МОУ "СОШ №31"</v>
      </c>
      <c r="E34" s="48">
        <f ca="1">IFERROR(__xludf.DUMMYFUNCTION("""COMPUTED_VALUE"""),8)</f>
        <v>8</v>
      </c>
      <c r="F34" s="70" t="str">
        <f ca="1">IFERROR(__xludf.DUMMYFUNCTION("""COMPUTED_VALUE"""),"Котлярова Евгения Владимировна")</f>
        <v>Котлярова Евгения Владимировна</v>
      </c>
      <c r="G34" s="48">
        <f ca="1">IFERROR(__xludf.DUMMYFUNCTION("""COMPUTED_VALUE"""),8)</f>
        <v>8</v>
      </c>
      <c r="H34" s="48">
        <v>16</v>
      </c>
      <c r="I34" s="48">
        <v>4</v>
      </c>
      <c r="J34" s="48"/>
      <c r="K34" s="94">
        <f t="shared" ca="1" si="0"/>
        <v>28</v>
      </c>
      <c r="L34" s="70"/>
      <c r="M34" s="69">
        <f t="shared" ca="1" si="1"/>
        <v>28</v>
      </c>
      <c r="N34" s="47">
        <v>28</v>
      </c>
      <c r="O34" s="47" t="s">
        <v>82</v>
      </c>
      <c r="P34" s="48"/>
    </row>
    <row r="35" spans="1:16" ht="12.75" x14ac:dyDescent="0.2">
      <c r="A35" s="47">
        <v>29</v>
      </c>
      <c r="B35" s="70" t="str">
        <f ca="1">IFERROR(__xludf.DUMMYFUNCTION("""COMPUTED_VALUE"""),"Синютина Яна")</f>
        <v>Синютина Яна</v>
      </c>
      <c r="C35" s="70"/>
      <c r="D35" s="70" t="str">
        <f ca="1">IFERROR(__xludf.DUMMYFUNCTION("""COMPUTED_VALUE"""),"МОУ ""СОШ №31""")</f>
        <v>МОУ "СОШ №31"</v>
      </c>
      <c r="E35" s="48">
        <f ca="1">IFERROR(__xludf.DUMMYFUNCTION("""COMPUTED_VALUE"""),8)</f>
        <v>8</v>
      </c>
      <c r="F35" s="70" t="str">
        <f ca="1">IFERROR(__xludf.DUMMYFUNCTION("""COMPUTED_VALUE"""),"Котлярова Евгения Владимировна")</f>
        <v>Котлярова Евгения Владимировна</v>
      </c>
      <c r="G35" s="48">
        <f ca="1">IFERROR(__xludf.DUMMYFUNCTION("""COMPUTED_VALUE"""),6)</f>
        <v>6</v>
      </c>
      <c r="H35" s="48">
        <v>17</v>
      </c>
      <c r="I35" s="48">
        <v>5</v>
      </c>
      <c r="J35" s="48"/>
      <c r="K35" s="94">
        <f t="shared" ca="1" si="0"/>
        <v>28</v>
      </c>
      <c r="L35" s="70"/>
      <c r="M35" s="69">
        <f t="shared" ca="1" si="1"/>
        <v>28</v>
      </c>
      <c r="N35" s="48">
        <v>29</v>
      </c>
      <c r="O35" s="47" t="s">
        <v>82</v>
      </c>
      <c r="P35" s="48"/>
    </row>
    <row r="36" spans="1:16" ht="12.75" x14ac:dyDescent="0.2">
      <c r="A36" s="48">
        <v>30</v>
      </c>
      <c r="B36" s="70" t="str">
        <f ca="1">IFERROR(__xludf.DUMMYFUNCTION("""COMPUTED_VALUE"""),"Габжанова Диана")</f>
        <v>Габжанова Диана</v>
      </c>
      <c r="C36" s="70"/>
      <c r="D36" s="70" t="str">
        <f ca="1">IFERROR(__xludf.DUMMYFUNCTION("""COMPUTED_VALUE"""),"МОУ ""СОШ №31""")</f>
        <v>МОУ "СОШ №31"</v>
      </c>
      <c r="E36" s="48">
        <f ca="1">IFERROR(__xludf.DUMMYFUNCTION("""COMPUTED_VALUE"""),8)</f>
        <v>8</v>
      </c>
      <c r="F36" s="70" t="str">
        <f ca="1">IFERROR(__xludf.DUMMYFUNCTION("""COMPUTED_VALUE"""),"Котлярова Евгения Владимировна")</f>
        <v>Котлярова Евгения Владимировна</v>
      </c>
      <c r="G36" s="48">
        <f ca="1">IFERROR(__xludf.DUMMYFUNCTION("""COMPUTED_VALUE"""),8)</f>
        <v>8</v>
      </c>
      <c r="H36" s="48">
        <v>15</v>
      </c>
      <c r="I36" s="48">
        <v>5</v>
      </c>
      <c r="J36" s="48"/>
      <c r="K36" s="94">
        <f t="shared" ca="1" si="0"/>
        <v>28</v>
      </c>
      <c r="L36" s="70"/>
      <c r="M36" s="69">
        <f t="shared" ca="1" si="1"/>
        <v>28</v>
      </c>
      <c r="N36" s="48">
        <v>30</v>
      </c>
      <c r="O36" s="47" t="s">
        <v>82</v>
      </c>
      <c r="P36" s="48"/>
    </row>
    <row r="37" spans="1:16" ht="12.75" x14ac:dyDescent="0.2">
      <c r="A37" s="48">
        <v>31</v>
      </c>
      <c r="B37" s="66" t="str">
        <f ca="1">IFERROR(__xludf.DUMMYFUNCTION("""COMPUTED_VALUE"""),"Ганина Дарья Дмитриевна")</f>
        <v>Ганина Дарья Дмитриевна</v>
      </c>
      <c r="C37" s="66"/>
      <c r="D37" s="66" t="str">
        <f ca="1">IFERROR(__xludf.DUMMYFUNCTION("""COMPUTED_VALUE"""),"МОУ ""СОШ с. Березовка""")</f>
        <v>МОУ "СОШ с. Березовка"</v>
      </c>
      <c r="E37" s="47">
        <f ca="1">IFERROR(__xludf.DUMMYFUNCTION("""COMPUTED_VALUE"""),8)</f>
        <v>8</v>
      </c>
      <c r="F37" s="66" t="str">
        <f ca="1">IFERROR(__xludf.DUMMYFUNCTION("""COMPUTED_VALUE"""),"Турсумбек Нагима Айгалиевна ")</f>
        <v xml:space="preserve">Турсумбек Нагима Айгалиевна </v>
      </c>
      <c r="G37" s="47">
        <f ca="1">IFERROR(__xludf.DUMMYFUNCTION("""COMPUTED_VALUE"""),6)</f>
        <v>6</v>
      </c>
      <c r="H37" s="47">
        <f ca="1">IFERROR(__xludf.DUMMYFUNCTION("""COMPUTED_VALUE"""),18)</f>
        <v>18</v>
      </c>
      <c r="I37" s="47">
        <f ca="1">IFERROR(__xludf.DUMMYFUNCTION("""COMPUTED_VALUE"""),4)</f>
        <v>4</v>
      </c>
      <c r="J37" s="47"/>
      <c r="K37" s="94">
        <f t="shared" ca="1" si="0"/>
        <v>28</v>
      </c>
      <c r="L37" s="95"/>
      <c r="M37" s="69">
        <f t="shared" ca="1" si="1"/>
        <v>28</v>
      </c>
      <c r="N37" s="47">
        <v>31</v>
      </c>
      <c r="O37" s="47" t="s">
        <v>82</v>
      </c>
      <c r="P37" s="48"/>
    </row>
    <row r="38" spans="1:16" ht="12.75" x14ac:dyDescent="0.2">
      <c r="A38" s="48">
        <v>32</v>
      </c>
      <c r="B38" s="71" t="str">
        <f ca="1">IFERROR(__xludf.DUMMYFUNCTION("IMPORTRANGE(""https://docs.google.com/spreadsheets/d/16CWr8ky6L0i1S4UOLMYHizeHS6aZnIDEnQPyRJyTpcI/edit#gid=0"", ""ООШ с. Ленинское!B18:O22"")"),"Борисова Ирина Андреевна")</f>
        <v>Борисова Ирина Андреевна</v>
      </c>
      <c r="C38" s="66"/>
      <c r="D38" s="66" t="str">
        <f ca="1">IFERROR(__xludf.DUMMYFUNCTION("""COMPUTED_VALUE"""),"МОУ ""ООШ с. Ленинское""")</f>
        <v>МОУ "ООШ с. Ленинское"</v>
      </c>
      <c r="E38" s="47">
        <f ca="1">IFERROR(__xludf.DUMMYFUNCTION("""COMPUTED_VALUE"""),8)</f>
        <v>8</v>
      </c>
      <c r="F38" s="66" t="str">
        <f ca="1">IFERROR(__xludf.DUMMYFUNCTION("""COMPUTED_VALUE"""),"Савиных Людмила Васильевна")</f>
        <v>Савиных Людмила Васильевна</v>
      </c>
      <c r="G38" s="47">
        <f ca="1">IFERROR(__xludf.DUMMYFUNCTION("""COMPUTED_VALUE"""),8)</f>
        <v>8</v>
      </c>
      <c r="H38" s="47">
        <v>18</v>
      </c>
      <c r="I38" s="47">
        <v>2</v>
      </c>
      <c r="J38" s="47"/>
      <c r="K38" s="94">
        <f t="shared" ca="1" si="0"/>
        <v>28</v>
      </c>
      <c r="L38" s="70"/>
      <c r="M38" s="69">
        <f t="shared" ca="1" si="1"/>
        <v>28</v>
      </c>
      <c r="N38" s="48">
        <v>32</v>
      </c>
      <c r="O38" s="47" t="s">
        <v>82</v>
      </c>
      <c r="P38" s="48"/>
    </row>
    <row r="39" spans="1:16" ht="12.75" x14ac:dyDescent="0.2">
      <c r="A39" s="47">
        <v>33</v>
      </c>
      <c r="B39" s="66" t="str">
        <f ca="1">IFERROR(__xludf.DUMMYFUNCTION("""COMPUTED_VALUE"""),"Буренкова Мария Александровна")</f>
        <v>Буренкова Мария Александровна</v>
      </c>
      <c r="C39" s="66"/>
      <c r="D39" s="66" t="str">
        <f ca="1">IFERROR(__xludf.DUMMYFUNCTION("""COMPUTED_VALUE"""),"МОУ ""ООШ с. Ленинское""")</f>
        <v>МОУ "ООШ с. Ленинское"</v>
      </c>
      <c r="E39" s="47">
        <f ca="1">IFERROR(__xludf.DUMMYFUNCTION("""COMPUTED_VALUE"""),8)</f>
        <v>8</v>
      </c>
      <c r="F39" s="66" t="str">
        <f ca="1">IFERROR(__xludf.DUMMYFUNCTION("""COMPUTED_VALUE"""),"Савиных Людмила Васильевна")</f>
        <v>Савиных Людмила Васильевна</v>
      </c>
      <c r="G39" s="47">
        <f ca="1">IFERROR(__xludf.DUMMYFUNCTION("""COMPUTED_VALUE"""),7)</f>
        <v>7</v>
      </c>
      <c r="H39" s="47">
        <v>20</v>
      </c>
      <c r="I39" s="47">
        <v>1</v>
      </c>
      <c r="J39" s="47"/>
      <c r="K39" s="94">
        <f t="shared" ref="K39:K70" ca="1" si="2">SUM(G39:I39)</f>
        <v>28</v>
      </c>
      <c r="L39" s="70"/>
      <c r="M39" s="69">
        <f t="shared" ca="1" si="1"/>
        <v>28</v>
      </c>
      <c r="N39" s="48">
        <v>33</v>
      </c>
      <c r="O39" s="47" t="s">
        <v>82</v>
      </c>
      <c r="P39" s="48"/>
    </row>
    <row r="40" spans="1:16" ht="12.75" x14ac:dyDescent="0.2">
      <c r="A40" s="48">
        <v>34</v>
      </c>
      <c r="B40" s="66" t="str">
        <f ca="1">IFERROR(__xludf.DUMMYFUNCTION("""COMPUTED_VALUE"""),"Сухоруков Максим Владимирович")</f>
        <v>Сухоруков Максим Владимирович</v>
      </c>
      <c r="C40" s="66"/>
      <c r="D40" s="66" t="str">
        <f ca="1">IFERROR(__xludf.DUMMYFUNCTION("""COMPUTED_VALUE"""),"МОУ ""СОШ п. Новопушкинское""")</f>
        <v>МОУ "СОШ п. Новопушкинское"</v>
      </c>
      <c r="E40" s="47">
        <f ca="1">IFERROR(__xludf.DUMMYFUNCTION("""COMPUTED_VALUE"""),8)</f>
        <v>8</v>
      </c>
      <c r="F40" s="66" t="str">
        <f ca="1">IFERROR(__xludf.DUMMYFUNCTION("""COMPUTED_VALUE"""),"Юшенова Лариса Николаевна")</f>
        <v>Юшенова Лариса Николаевна</v>
      </c>
      <c r="G40" s="47">
        <f ca="1">IFERROR(__xludf.DUMMYFUNCTION("""COMPUTED_VALUE"""),6)</f>
        <v>6</v>
      </c>
      <c r="H40" s="47">
        <f ca="1">IFERROR(__xludf.DUMMYFUNCTION("""COMPUTED_VALUE"""),18)</f>
        <v>18</v>
      </c>
      <c r="I40" s="47">
        <f ca="1">IFERROR(__xludf.DUMMYFUNCTION("""COMPUTED_VALUE"""),4)</f>
        <v>4</v>
      </c>
      <c r="J40" s="47"/>
      <c r="K40" s="94">
        <f t="shared" ca="1" si="2"/>
        <v>28</v>
      </c>
      <c r="L40" s="95"/>
      <c r="M40" s="69">
        <f t="shared" ca="1" si="1"/>
        <v>28</v>
      </c>
      <c r="N40" s="47">
        <v>34</v>
      </c>
      <c r="O40" s="47" t="s">
        <v>82</v>
      </c>
      <c r="P40" s="48"/>
    </row>
    <row r="41" spans="1:16" ht="12.75" x14ac:dyDescent="0.2">
      <c r="A41" s="48">
        <v>35</v>
      </c>
      <c r="B41" s="66" t="str">
        <f ca="1">IFERROR(__xludf.DUMMYFUNCTION("""COMPUTED_VALUE"""),"Сердюкова Вероника Максимовна")</f>
        <v>Сердюкова Вероника Максимовна</v>
      </c>
      <c r="C41" s="66"/>
      <c r="D41" s="66" t="str">
        <f ca="1">IFERROR(__xludf.DUMMYFUNCTION("""COMPUTED_VALUE"""),"МАОУ ""ООШ с. Степное""")</f>
        <v>МАОУ "ООШ с. Степное"</v>
      </c>
      <c r="E41" s="47">
        <f ca="1">IFERROR(__xludf.DUMMYFUNCTION("""COMPUTED_VALUE"""),8)</f>
        <v>8</v>
      </c>
      <c r="F41" s="66" t="str">
        <f ca="1">IFERROR(__xludf.DUMMYFUNCTION("""COMPUTED_VALUE"""),"Макарова Зухра Амирджановна")</f>
        <v>Макарова Зухра Амирджановна</v>
      </c>
      <c r="G41" s="47">
        <f ca="1">IFERROR(__xludf.DUMMYFUNCTION("""COMPUTED_VALUE"""),3)</f>
        <v>3</v>
      </c>
      <c r="H41" s="47">
        <f ca="1">IFERROR(__xludf.DUMMYFUNCTION("""COMPUTED_VALUE"""),20)</f>
        <v>20</v>
      </c>
      <c r="I41" s="47">
        <f ca="1">IFERROR(__xludf.DUMMYFUNCTION("""COMPUTED_VALUE"""),5)</f>
        <v>5</v>
      </c>
      <c r="J41" s="47"/>
      <c r="K41" s="94">
        <f t="shared" ca="1" si="2"/>
        <v>28</v>
      </c>
      <c r="L41" s="95"/>
      <c r="M41" s="69">
        <f t="shared" ca="1" si="1"/>
        <v>28</v>
      </c>
      <c r="N41" s="48">
        <v>35</v>
      </c>
      <c r="O41" s="47" t="s">
        <v>82</v>
      </c>
      <c r="P41" s="48"/>
    </row>
    <row r="42" spans="1:16" ht="12.75" x14ac:dyDescent="0.2">
      <c r="A42" s="47">
        <v>36</v>
      </c>
      <c r="B42" s="66" t="str">
        <f ca="1">IFERROR(__xludf.DUMMYFUNCTION("""COMPUTED_VALUE"""),"Давыдкова Василиса Анатольевна")</f>
        <v>Давыдкова Василиса Анатольевна</v>
      </c>
      <c r="C42" s="66"/>
      <c r="D42" s="66" t="str">
        <f ca="1">IFERROR(__xludf.DUMMYFUNCTION("""COMPUTED_VALUE"""),"МОУ ""СОШ с. Шумейка""")</f>
        <v>МОУ "СОШ с. Шумейка"</v>
      </c>
      <c r="E42" s="47">
        <f ca="1">IFERROR(__xludf.DUMMYFUNCTION("""COMPUTED_VALUE"""),8)</f>
        <v>8</v>
      </c>
      <c r="F42" s="66" t="str">
        <f ca="1">IFERROR(__xludf.DUMMYFUNCTION("""COMPUTED_VALUE"""),"Полякова Наталия Викторовна")</f>
        <v>Полякова Наталия Викторовна</v>
      </c>
      <c r="G42" s="47">
        <f ca="1">IFERROR(__xludf.DUMMYFUNCTION("""COMPUTED_VALUE"""),7)</f>
        <v>7</v>
      </c>
      <c r="H42" s="47">
        <v>18</v>
      </c>
      <c r="I42" s="47">
        <v>3</v>
      </c>
      <c r="J42" s="47"/>
      <c r="K42" s="94">
        <f t="shared" ca="1" si="2"/>
        <v>28</v>
      </c>
      <c r="L42" s="70"/>
      <c r="M42" s="69">
        <f t="shared" ca="1" si="1"/>
        <v>28</v>
      </c>
      <c r="N42" s="48">
        <v>36</v>
      </c>
      <c r="O42" s="47" t="s">
        <v>82</v>
      </c>
      <c r="P42" s="48"/>
    </row>
    <row r="43" spans="1:16" ht="12.75" x14ac:dyDescent="0.2">
      <c r="A43" s="48">
        <v>37</v>
      </c>
      <c r="B43" s="70" t="str">
        <f ca="1">IFERROR(__xludf.DUMMYFUNCTION("""COMPUTED_VALUE"""),"Зайцева Кристина Витальевна")</f>
        <v>Зайцева Кристина Витальевна</v>
      </c>
      <c r="C43" s="70"/>
      <c r="D43" s="70" t="str">
        <f ca="1">IFERROR(__xludf.DUMMYFUNCTION("""COMPUTED_VALUE"""),"МОУ ""СОШ №4""")</f>
        <v>МОУ "СОШ №4"</v>
      </c>
      <c r="E43" s="48">
        <f ca="1">IFERROR(__xludf.DUMMYFUNCTION("""COMPUTED_VALUE"""),8)</f>
        <v>8</v>
      </c>
      <c r="F43" s="70" t="str">
        <f ca="1">IFERROR(__xludf.DUMMYFUNCTION("""COMPUTED_VALUE"""),"Шевченко Татьяна Петровна")</f>
        <v>Шевченко Татьяна Петровна</v>
      </c>
      <c r="G43" s="48">
        <f ca="1">IFERROR(__xludf.DUMMYFUNCTION("""COMPUTED_VALUE"""),6)</f>
        <v>6</v>
      </c>
      <c r="H43" s="48">
        <f ca="1">IFERROR(__xludf.DUMMYFUNCTION("""COMPUTED_VALUE"""),16)</f>
        <v>16</v>
      </c>
      <c r="I43" s="48">
        <f ca="1">IFERROR(__xludf.DUMMYFUNCTION("""COMPUTED_VALUE"""),5)</f>
        <v>5</v>
      </c>
      <c r="J43" s="48"/>
      <c r="K43" s="94">
        <f t="shared" ca="1" si="2"/>
        <v>27</v>
      </c>
      <c r="L43" s="95"/>
      <c r="M43" s="69">
        <f t="shared" ca="1" si="1"/>
        <v>27</v>
      </c>
      <c r="N43" s="47">
        <v>37</v>
      </c>
      <c r="O43" s="47" t="s">
        <v>82</v>
      </c>
      <c r="P43" s="48"/>
    </row>
    <row r="44" spans="1:16" ht="12.75" x14ac:dyDescent="0.2">
      <c r="A44" s="48">
        <v>38</v>
      </c>
      <c r="B44" s="70" t="str">
        <f ca="1">IFERROR(__xludf.DUMMYFUNCTION("""COMPUTED_VALUE"""),"Руденко Полина Андреевна")</f>
        <v>Руденко Полина Андреевна</v>
      </c>
      <c r="C44" s="70"/>
      <c r="D44" s="70" t="str">
        <f ca="1">IFERROR(__xludf.DUMMYFUNCTION("""COMPUTED_VALUE"""),"МОУ ""СОШ №9""")</f>
        <v>МОУ "СОШ №9"</v>
      </c>
      <c r="E44" s="48">
        <f ca="1">IFERROR(__xludf.DUMMYFUNCTION("""COMPUTED_VALUE"""),8)</f>
        <v>8</v>
      </c>
      <c r="F44" s="70" t="str">
        <f ca="1">IFERROR(__xludf.DUMMYFUNCTION("""COMPUTED_VALUE"""),"Головчанская Наталия Евгеньевна")</f>
        <v>Головчанская Наталия Евгеньевна</v>
      </c>
      <c r="G44" s="48">
        <f ca="1">IFERROR(__xludf.DUMMYFUNCTION("""COMPUTED_VALUE"""),4)</f>
        <v>4</v>
      </c>
      <c r="H44" s="48">
        <f ca="1">IFERROR(__xludf.DUMMYFUNCTION("""COMPUTED_VALUE"""),20)</f>
        <v>20</v>
      </c>
      <c r="I44" s="48">
        <f ca="1">IFERROR(__xludf.DUMMYFUNCTION("""COMPUTED_VALUE"""),3)</f>
        <v>3</v>
      </c>
      <c r="J44" s="48"/>
      <c r="K44" s="94">
        <f t="shared" ca="1" si="2"/>
        <v>27</v>
      </c>
      <c r="L44" s="95"/>
      <c r="M44" s="69">
        <f t="shared" ca="1" si="1"/>
        <v>27</v>
      </c>
      <c r="N44" s="48">
        <v>38</v>
      </c>
      <c r="O44" s="47" t="s">
        <v>82</v>
      </c>
      <c r="P44" s="48"/>
    </row>
    <row r="45" spans="1:16" ht="12.75" x14ac:dyDescent="0.2">
      <c r="A45" s="48">
        <v>39</v>
      </c>
      <c r="B45" s="71" t="str">
        <f ca="1">IFERROR(__xludf.DUMMYFUNCTION("IMPORTRANGE(""https://docs.google.com/spreadsheets/d/16CWr8ky6L0i1S4UOLMYHizeHS6aZnIDEnQPyRJyTpcI/edit#gid=0"", ""СОШ п. Новопушкинское!B18:O22"")"),"Бурмистрова Виктория Олеговна")</f>
        <v>Бурмистрова Виктория Олеговна</v>
      </c>
      <c r="C45" s="66"/>
      <c r="D45" s="66" t="str">
        <f ca="1">IFERROR(__xludf.DUMMYFUNCTION("""COMPUTED_VALUE"""),"МОУ ""СОШ п. Новопушкинское""")</f>
        <v>МОУ "СОШ п. Новопушкинское"</v>
      </c>
      <c r="E45" s="47">
        <f ca="1">IFERROR(__xludf.DUMMYFUNCTION("""COMPUTED_VALUE"""),8)</f>
        <v>8</v>
      </c>
      <c r="F45" s="66" t="str">
        <f ca="1">IFERROR(__xludf.DUMMYFUNCTION("""COMPUTED_VALUE"""),"Юшенова Лариса Николаевна")</f>
        <v>Юшенова Лариса Николаевна</v>
      </c>
      <c r="G45" s="47">
        <f ca="1">IFERROR(__xludf.DUMMYFUNCTION("""COMPUTED_VALUE"""),6)</f>
        <v>6</v>
      </c>
      <c r="H45" s="47">
        <f ca="1">IFERROR(__xludf.DUMMYFUNCTION("""COMPUTED_VALUE"""),17)</f>
        <v>17</v>
      </c>
      <c r="I45" s="47">
        <f ca="1">IFERROR(__xludf.DUMMYFUNCTION("""COMPUTED_VALUE"""),4)</f>
        <v>4</v>
      </c>
      <c r="J45" s="47"/>
      <c r="K45" s="94">
        <f t="shared" ca="1" si="2"/>
        <v>27</v>
      </c>
      <c r="L45" s="95"/>
      <c r="M45" s="69">
        <f t="shared" ca="1" si="1"/>
        <v>27</v>
      </c>
      <c r="N45" s="48">
        <v>39</v>
      </c>
      <c r="O45" s="47" t="s">
        <v>82</v>
      </c>
      <c r="P45" s="48"/>
    </row>
    <row r="46" spans="1:16" ht="12.75" x14ac:dyDescent="0.2">
      <c r="A46" s="47">
        <v>40</v>
      </c>
      <c r="B46" s="71" t="str">
        <f ca="1">IFERROR(__xludf.DUMMYFUNCTION("IMPORTRANGE(""https://docs.google.com/spreadsheets/d/16CWr8ky6L0i1S4UOLMYHizeHS6aZnIDEnQPyRJyTpcI/edit#gid=0"", ""Нов. век!B61:O62"")"),"Ксенофонтов Захар Алексеевич")</f>
        <v>Ксенофонтов Захар Алексеевич</v>
      </c>
      <c r="C46" s="66"/>
      <c r="D46" s="66" t="str">
        <f ca="1">IFERROR(__xludf.DUMMYFUNCTION("""COMPUTED_VALUE"""),"МОУ ""СОШ им. Ю.А. Гагарина """)</f>
        <v>МОУ "СОШ им. Ю.А. Гагарина "</v>
      </c>
      <c r="E46" s="47">
        <f ca="1">IFERROR(__xludf.DUMMYFUNCTION("""COMPUTED_VALUE"""),8)</f>
        <v>8</v>
      </c>
      <c r="F46" s="66" t="str">
        <f ca="1">IFERROR(__xludf.DUMMYFUNCTION("""COMPUTED_VALUE"""),"Мищенко Ирина Николаевна")</f>
        <v>Мищенко Ирина Николаевна</v>
      </c>
      <c r="G46" s="47">
        <f ca="1">IFERROR(__xludf.DUMMYFUNCTION("""COMPUTED_VALUE"""),6)</f>
        <v>6</v>
      </c>
      <c r="H46" s="47">
        <f ca="1">IFERROR(__xludf.DUMMYFUNCTION("""COMPUTED_VALUE"""),17)</f>
        <v>17</v>
      </c>
      <c r="I46" s="47">
        <f ca="1">IFERROR(__xludf.DUMMYFUNCTION("""COMPUTED_VALUE"""),4)</f>
        <v>4</v>
      </c>
      <c r="J46" s="47"/>
      <c r="K46" s="94">
        <f t="shared" ca="1" si="2"/>
        <v>27</v>
      </c>
      <c r="L46" s="95"/>
      <c r="M46" s="69">
        <f t="shared" ca="1" si="1"/>
        <v>27</v>
      </c>
      <c r="N46" s="47">
        <v>40</v>
      </c>
      <c r="O46" s="47" t="s">
        <v>82</v>
      </c>
      <c r="P46" s="48"/>
    </row>
    <row r="47" spans="1:16" ht="12.75" x14ac:dyDescent="0.2">
      <c r="A47" s="48">
        <v>41</v>
      </c>
      <c r="B47" s="66" t="str">
        <f ca="1">IFERROR(__xludf.DUMMYFUNCTION("""COMPUTED_VALUE"""),"Гладких Анна Евгеньевна")</f>
        <v>Гладких Анна Евгеньевна</v>
      </c>
      <c r="C47" s="66"/>
      <c r="D47" s="66" t="str">
        <f ca="1">IFERROR(__xludf.DUMMYFUNCTION("""COMPUTED_VALUE"""),"МОУ ""СОШ ""Патриот"" с кадетскими классами""")</f>
        <v>МОУ "СОШ "Патриот" с кадетскими классами"</v>
      </c>
      <c r="E47" s="47">
        <f ca="1">IFERROR(__xludf.DUMMYFUNCTION("""COMPUTED_VALUE"""),8)</f>
        <v>8</v>
      </c>
      <c r="F47" s="66" t="str">
        <f ca="1">IFERROR(__xludf.DUMMYFUNCTION("""COMPUTED_VALUE"""),"Языкова Светлана Александровна")</f>
        <v>Языкова Светлана Александровна</v>
      </c>
      <c r="G47" s="47">
        <f ca="1">IFERROR(__xludf.DUMMYFUNCTION("""COMPUTED_VALUE"""),5)</f>
        <v>5</v>
      </c>
      <c r="H47" s="47">
        <f ca="1">IFERROR(__xludf.DUMMYFUNCTION("""COMPUTED_VALUE"""),19)</f>
        <v>19</v>
      </c>
      <c r="I47" s="47">
        <f ca="1">IFERROR(__xludf.DUMMYFUNCTION("""COMPUTED_VALUE"""),3)</f>
        <v>3</v>
      </c>
      <c r="J47" s="47"/>
      <c r="K47" s="94">
        <f t="shared" ca="1" si="2"/>
        <v>27</v>
      </c>
      <c r="L47" s="95"/>
      <c r="M47" s="69">
        <f t="shared" ca="1" si="1"/>
        <v>27</v>
      </c>
      <c r="N47" s="48">
        <v>41</v>
      </c>
      <c r="O47" s="47" t="s">
        <v>82</v>
      </c>
      <c r="P47" s="48"/>
    </row>
    <row r="48" spans="1:16" ht="12.75" x14ac:dyDescent="0.2">
      <c r="A48" s="48">
        <v>42</v>
      </c>
      <c r="B48" s="71" t="str">
        <f ca="1">IFERROR(__xludf.DUMMYFUNCTION("IMPORTRANGE(""https://docs.google.com/spreadsheets/d/16CWr8ky6L0i1S4UOLMYHizeHS6aZnIDEnQPyRJyTpcI/edit#gid=0"", ""СОШ №9!B18:O22"")")," Сычева Елизавета Александровна")</f>
        <v xml:space="preserve"> Сычева Елизавета Александровна</v>
      </c>
      <c r="C48" s="70"/>
      <c r="D48" s="70" t="str">
        <f ca="1">IFERROR(__xludf.DUMMYFUNCTION("""COMPUTED_VALUE"""),"МОУ ""СОШ №9""")</f>
        <v>МОУ "СОШ №9"</v>
      </c>
      <c r="E48" s="48">
        <f ca="1">IFERROR(__xludf.DUMMYFUNCTION("""COMPUTED_VALUE"""),8)</f>
        <v>8</v>
      </c>
      <c r="F48" s="70" t="str">
        <f ca="1">IFERROR(__xludf.DUMMYFUNCTION("""COMPUTED_VALUE"""),"Головчанская Наталия Евгеньевна")</f>
        <v>Головчанская Наталия Евгеньевна</v>
      </c>
      <c r="G48" s="48">
        <f ca="1">IFERROR(__xludf.DUMMYFUNCTION("""COMPUTED_VALUE"""),6)</f>
        <v>6</v>
      </c>
      <c r="H48" s="48">
        <f ca="1">IFERROR(__xludf.DUMMYFUNCTION("""COMPUTED_VALUE"""),20)</f>
        <v>20</v>
      </c>
      <c r="I48" s="48">
        <f ca="1">IFERROR(__xludf.DUMMYFUNCTION("""COMPUTED_VALUE"""),0)</f>
        <v>0</v>
      </c>
      <c r="J48" s="48"/>
      <c r="K48" s="94">
        <f t="shared" ca="1" si="2"/>
        <v>26</v>
      </c>
      <c r="L48" s="95"/>
      <c r="M48" s="69">
        <f t="shared" ca="1" si="1"/>
        <v>26</v>
      </c>
      <c r="N48" s="48">
        <v>42</v>
      </c>
      <c r="O48" s="48" t="s">
        <v>83</v>
      </c>
      <c r="P48" s="48"/>
    </row>
    <row r="49" spans="1:17" ht="12.75" x14ac:dyDescent="0.2">
      <c r="A49" s="47">
        <v>43</v>
      </c>
      <c r="B49" s="71" t="str">
        <f ca="1">IFERROR(__xludf.DUMMYFUNCTION("IMPORTRANGE(""https://docs.google.com/spreadsheets/d/16CWr8ky6L0i1S4UOLMYHizeHS6aZnIDEnQPyRJyTpcI/edit#gid=0"", ""ООШ №10!B18:O22"")"),"Клещевский Семен Владимирович")</f>
        <v>Клещевский Семен Владимирович</v>
      </c>
      <c r="C49" s="70"/>
      <c r="D49" s="70" t="str">
        <f ca="1">IFERROR(__xludf.DUMMYFUNCTION("""COMPUTED_VALUE"""),"МОУ ""ООШ№10""")</f>
        <v>МОУ "ООШ№10"</v>
      </c>
      <c r="E49" s="48">
        <f ca="1">IFERROR(__xludf.DUMMYFUNCTION("""COMPUTED_VALUE"""),8)</f>
        <v>8</v>
      </c>
      <c r="F49" s="70" t="str">
        <f ca="1">IFERROR(__xludf.DUMMYFUNCTION("""COMPUTED_VALUE"""),"Бузюрова Оксана Васильевна")</f>
        <v>Бузюрова Оксана Васильевна</v>
      </c>
      <c r="G49" s="48">
        <f ca="1">IFERROR(__xludf.DUMMYFUNCTION("""COMPUTED_VALUE"""),7)</f>
        <v>7</v>
      </c>
      <c r="H49" s="48">
        <f ca="1">IFERROR(__xludf.DUMMYFUNCTION("""COMPUTED_VALUE"""),19)</f>
        <v>19</v>
      </c>
      <c r="I49" s="48">
        <f ca="1">IFERROR(__xludf.DUMMYFUNCTION("""COMPUTED_VALUE"""),0)</f>
        <v>0</v>
      </c>
      <c r="J49" s="48"/>
      <c r="K49" s="94">
        <f t="shared" ca="1" si="2"/>
        <v>26</v>
      </c>
      <c r="L49" s="95"/>
      <c r="M49" s="69">
        <f t="shared" ca="1" si="1"/>
        <v>26</v>
      </c>
      <c r="N49" s="47">
        <v>43</v>
      </c>
      <c r="O49" s="48" t="s">
        <v>83</v>
      </c>
      <c r="P49" s="48"/>
    </row>
    <row r="50" spans="1:17" ht="12.75" x14ac:dyDescent="0.2">
      <c r="A50" s="48">
        <v>44</v>
      </c>
      <c r="B50" s="70" t="str">
        <f ca="1">IFERROR(__xludf.DUMMYFUNCTION("""COMPUTED_VALUE"""),"Казаров МИхаил Игоревич")</f>
        <v>Казаров МИхаил Игоревич</v>
      </c>
      <c r="C50" s="70"/>
      <c r="D50" s="70" t="str">
        <f ca="1">IFERROR(__xludf.DUMMYFUNCTION("""COMPUTED_VALUE"""),"МОУ ""СОШ №19""")</f>
        <v>МОУ "СОШ №19"</v>
      </c>
      <c r="E50" s="48">
        <f ca="1">IFERROR(__xludf.DUMMYFUNCTION("""COMPUTED_VALUE"""),8)</f>
        <v>8</v>
      </c>
      <c r="F50" s="70" t="str">
        <f ca="1">IFERROR(__xludf.DUMMYFUNCTION("""COMPUTED_VALUE"""),"Карташова Анна Александровна")</f>
        <v>Карташова Анна Александровна</v>
      </c>
      <c r="G50" s="48">
        <f ca="1">IFERROR(__xludf.DUMMYFUNCTION("""COMPUTED_VALUE"""),7)</f>
        <v>7</v>
      </c>
      <c r="H50" s="48">
        <v>17</v>
      </c>
      <c r="I50" s="48">
        <v>2</v>
      </c>
      <c r="J50" s="48"/>
      <c r="K50" s="94">
        <f t="shared" ca="1" si="2"/>
        <v>26</v>
      </c>
      <c r="L50" s="70"/>
      <c r="M50" s="69">
        <f t="shared" ca="1" si="1"/>
        <v>26</v>
      </c>
      <c r="N50" s="48">
        <v>44</v>
      </c>
      <c r="O50" s="48" t="s">
        <v>83</v>
      </c>
      <c r="P50" s="48"/>
    </row>
    <row r="51" spans="1:17" ht="12.75" x14ac:dyDescent="0.2">
      <c r="A51" s="48">
        <v>45</v>
      </c>
      <c r="B51" s="70" t="str">
        <f ca="1">IFERROR(__xludf.DUMMYFUNCTION("IMPORTRANGE(""https://docs.google.com/spreadsheets/d/16CWr8ky6L0i1S4UOLMYHizeHS6aZnIDEnQPyRJyTpcI/edit#gid=0"", ""СОШ №33!B18:O22"")"),"Опалева Юлия Владиировна")</f>
        <v>Опалева Юлия Владиировна</v>
      </c>
      <c r="C51" s="70"/>
      <c r="D51" s="70" t="str">
        <f ca="1">IFERROR(__xludf.DUMMYFUNCTION("""COMPUTED_VALUE"""),"МОУ ""СОШ №33""")</f>
        <v>МОУ "СОШ №33"</v>
      </c>
      <c r="E51" s="48">
        <f ca="1">IFERROR(__xludf.DUMMYFUNCTION("""COMPUTED_VALUE"""),8)</f>
        <v>8</v>
      </c>
      <c r="F51" s="70" t="str">
        <f ca="1">IFERROR(__xludf.DUMMYFUNCTION("""COMPUTED_VALUE"""),"Чермашенцева Анжела Сергеевна")</f>
        <v>Чермашенцева Анжела Сергеевна</v>
      </c>
      <c r="G51" s="48">
        <f ca="1">IFERROR(__xludf.DUMMYFUNCTION("""COMPUTED_VALUE"""),5)</f>
        <v>5</v>
      </c>
      <c r="H51" s="48">
        <f ca="1">IFERROR(__xludf.DUMMYFUNCTION("""COMPUTED_VALUE"""),18)</f>
        <v>18</v>
      </c>
      <c r="I51" s="48">
        <f ca="1">IFERROR(__xludf.DUMMYFUNCTION("""COMPUTED_VALUE"""),3)</f>
        <v>3</v>
      </c>
      <c r="J51" s="48"/>
      <c r="K51" s="94">
        <f t="shared" ca="1" si="2"/>
        <v>26</v>
      </c>
      <c r="L51" s="95"/>
      <c r="M51" s="69">
        <f t="shared" ca="1" si="1"/>
        <v>26</v>
      </c>
      <c r="N51" s="48">
        <v>45</v>
      </c>
      <c r="O51" s="48" t="s">
        <v>83</v>
      </c>
      <c r="P51" s="48"/>
    </row>
    <row r="52" spans="1:17" ht="12.75" x14ac:dyDescent="0.2">
      <c r="A52" s="48">
        <v>46</v>
      </c>
      <c r="B52" s="70" t="str">
        <f ca="1">IFERROR(__xludf.DUMMYFUNCTION("""COMPUTED_VALUE"""),"Щенников Снаслав Дмитриевич")</f>
        <v>Щенников Снаслав Дмитриевич</v>
      </c>
      <c r="C52" s="70"/>
      <c r="D52" s="70" t="str">
        <f ca="1">IFERROR(__xludf.DUMMYFUNCTION("""COMPUTED_VALUE"""),"МОУ ""СОШ №33""")</f>
        <v>МОУ "СОШ №33"</v>
      </c>
      <c r="E52" s="48">
        <f ca="1">IFERROR(__xludf.DUMMYFUNCTION("""COMPUTED_VALUE"""),8)</f>
        <v>8</v>
      </c>
      <c r="F52" s="70" t="str">
        <f ca="1">IFERROR(__xludf.DUMMYFUNCTION("""COMPUTED_VALUE"""),"Сибряева Надежда Васильевна")</f>
        <v>Сибряева Надежда Васильевна</v>
      </c>
      <c r="G52" s="48">
        <f ca="1">IFERROR(__xludf.DUMMYFUNCTION("""COMPUTED_VALUE"""),7)</f>
        <v>7</v>
      </c>
      <c r="H52" s="48">
        <f ca="1">IFERROR(__xludf.DUMMYFUNCTION("""COMPUTED_VALUE"""),17)</f>
        <v>17</v>
      </c>
      <c r="I52" s="48">
        <f ca="1">IFERROR(__xludf.DUMMYFUNCTION("""COMPUTED_VALUE"""),2)</f>
        <v>2</v>
      </c>
      <c r="J52" s="48"/>
      <c r="K52" s="94">
        <f t="shared" ca="1" si="2"/>
        <v>26</v>
      </c>
      <c r="L52" s="95"/>
      <c r="M52" s="69">
        <f t="shared" ca="1" si="1"/>
        <v>26</v>
      </c>
      <c r="N52" s="47">
        <v>46</v>
      </c>
      <c r="O52" s="48" t="s">
        <v>83</v>
      </c>
      <c r="P52" s="48"/>
    </row>
    <row r="53" spans="1:17" ht="12.75" x14ac:dyDescent="0.2">
      <c r="A53" s="47">
        <v>47</v>
      </c>
      <c r="B53" s="66" t="str">
        <f ca="1">IFERROR(__xludf.DUMMYFUNCTION("""COMPUTED_VALUE"""),"Ломакин Степан Алексеевич")</f>
        <v>Ломакин Степан Алексеевич</v>
      </c>
      <c r="C53" s="66"/>
      <c r="D53" s="66" t="str">
        <f ca="1">IFERROR(__xludf.DUMMYFUNCTION("""COMPUTED_VALUE"""),"МОУ ""СОШ п. Придорожный""")</f>
        <v>МОУ "СОШ п. Придорожный"</v>
      </c>
      <c r="E53" s="47">
        <f ca="1">IFERROR(__xludf.DUMMYFUNCTION("""COMPUTED_VALUE"""),8)</f>
        <v>8</v>
      </c>
      <c r="F53" s="66" t="str">
        <f ca="1">IFERROR(__xludf.DUMMYFUNCTION("""COMPUTED_VALUE"""),"Демешко Екатерина Валерьевна")</f>
        <v>Демешко Екатерина Валерьевна</v>
      </c>
      <c r="G53" s="47">
        <f ca="1">IFERROR(__xludf.DUMMYFUNCTION("""COMPUTED_VALUE"""),6)</f>
        <v>6</v>
      </c>
      <c r="H53" s="47">
        <v>17</v>
      </c>
      <c r="I53" s="47">
        <v>3</v>
      </c>
      <c r="J53" s="47"/>
      <c r="K53" s="94">
        <f t="shared" ca="1" si="2"/>
        <v>26</v>
      </c>
      <c r="L53" s="70"/>
      <c r="M53" s="69">
        <f t="shared" ca="1" si="1"/>
        <v>26</v>
      </c>
      <c r="N53" s="48">
        <v>47</v>
      </c>
      <c r="O53" s="48" t="s">
        <v>83</v>
      </c>
      <c r="P53" s="48"/>
    </row>
    <row r="54" spans="1:17" ht="12.75" x14ac:dyDescent="0.2">
      <c r="A54" s="48">
        <v>48</v>
      </c>
      <c r="B54" s="71" t="str">
        <f ca="1">IFERROR(__xludf.DUMMYFUNCTION("IMPORTRANGE(""https://docs.google.com/spreadsheets/d/16CWr8ky6L0i1S4UOLMYHizeHS6aZnIDEnQPyRJyTpcI/edit#gid=0"", ""СОШ п. им. К.Маркса!B37:O38"")"),"Файзулина Алина Андреевна")</f>
        <v>Файзулина Алина Андреевна</v>
      </c>
      <c r="C54" s="66"/>
      <c r="D54" s="66" t="str">
        <f ca="1">IFERROR(__xludf.DUMMYFUNCTION("""COMPUTED_VALUE"""),"МОУ ""СОШ п. им. К. Маркса""")</f>
        <v>МОУ "СОШ п. им. К. Маркса"</v>
      </c>
      <c r="E54" s="47">
        <f ca="1">IFERROR(__xludf.DUMMYFUNCTION("""COMPUTED_VALUE"""),8)</f>
        <v>8</v>
      </c>
      <c r="F54" s="66" t="str">
        <f ca="1">IFERROR(__xludf.DUMMYFUNCTION("""COMPUTED_VALUE"""),"Постнова Ольга Вениаминовна")</f>
        <v>Постнова Ольга Вениаминовна</v>
      </c>
      <c r="G54" s="47">
        <f ca="1">IFERROR(__xludf.DUMMYFUNCTION("""COMPUTED_VALUE"""),5)</f>
        <v>5</v>
      </c>
      <c r="H54" s="47">
        <f ca="1">IFERROR(__xludf.DUMMYFUNCTION("""COMPUTED_VALUE"""),19)</f>
        <v>19</v>
      </c>
      <c r="I54" s="47">
        <f ca="1">IFERROR(__xludf.DUMMYFUNCTION("""COMPUTED_VALUE"""),2)</f>
        <v>2</v>
      </c>
      <c r="J54" s="47"/>
      <c r="K54" s="94">
        <f t="shared" ca="1" si="2"/>
        <v>26</v>
      </c>
      <c r="L54" s="95"/>
      <c r="M54" s="69">
        <f t="shared" ca="1" si="1"/>
        <v>26</v>
      </c>
      <c r="N54" s="48">
        <v>48</v>
      </c>
      <c r="O54" s="48" t="s">
        <v>83</v>
      </c>
      <c r="P54" s="48"/>
    </row>
    <row r="55" spans="1:17" ht="12.75" x14ac:dyDescent="0.2">
      <c r="A55" s="48">
        <v>49</v>
      </c>
      <c r="B55" s="70" t="str">
        <f ca="1">IFERROR(__xludf.DUMMYFUNCTION("""COMPUTED_VALUE"""),"Паршина Екатерина Николаевна")</f>
        <v>Паршина Екатерина Николаевна</v>
      </c>
      <c r="C55" s="70"/>
      <c r="D55" s="70" t="str">
        <f ca="1">IFERROR(__xludf.DUMMYFUNCTION("""COMPUTED_VALUE"""),"МОУ ""СОШ им. Ю.А. Гагарина """)</f>
        <v>МОУ "СОШ им. Ю.А. Гагарина "</v>
      </c>
      <c r="E55" s="48">
        <f ca="1">IFERROR(__xludf.DUMMYFUNCTION("""COMPUTED_VALUE"""),8)</f>
        <v>8</v>
      </c>
      <c r="F55" s="70" t="str">
        <f ca="1">IFERROR(__xludf.DUMMYFUNCTION("""COMPUTED_VALUE"""),"Мищенко Ирина Николаевна")</f>
        <v>Мищенко Ирина Николаевна</v>
      </c>
      <c r="G55" s="48">
        <f ca="1">IFERROR(__xludf.DUMMYFUNCTION("""COMPUTED_VALUE"""),8)</f>
        <v>8</v>
      </c>
      <c r="H55" s="48">
        <f ca="1">IFERROR(__xludf.DUMMYFUNCTION("""COMPUTED_VALUE"""),15)</f>
        <v>15</v>
      </c>
      <c r="I55" s="48">
        <f ca="1">IFERROR(__xludf.DUMMYFUNCTION("""COMPUTED_VALUE"""),3)</f>
        <v>3</v>
      </c>
      <c r="J55" s="48"/>
      <c r="K55" s="94">
        <f t="shared" ca="1" si="2"/>
        <v>26</v>
      </c>
      <c r="L55" s="95"/>
      <c r="M55" s="69">
        <f t="shared" ca="1" si="1"/>
        <v>26</v>
      </c>
      <c r="N55" s="47">
        <v>49</v>
      </c>
      <c r="O55" s="48" t="s">
        <v>83</v>
      </c>
      <c r="P55" s="48"/>
    </row>
    <row r="56" spans="1:17" ht="12.75" x14ac:dyDescent="0.2">
      <c r="A56" s="47">
        <v>50</v>
      </c>
      <c r="B56" s="66" t="str">
        <f ca="1">IFERROR(__xludf.DUMMYFUNCTION("""COMPUTED_VALUE"""),"Юдкин Никита Геннадьевич")</f>
        <v>Юдкин Никита Геннадьевич</v>
      </c>
      <c r="C56" s="66"/>
      <c r="D56" s="66" t="str">
        <f ca="1">IFERROR(__xludf.DUMMYFUNCTION("""COMPUTED_VALUE"""),"МОУ ""СОШ п. Новопушкинское""")</f>
        <v>МОУ "СОШ п. Новопушкинское"</v>
      </c>
      <c r="E56" s="47">
        <f ca="1">IFERROR(__xludf.DUMMYFUNCTION("""COMPUTED_VALUE"""),8)</f>
        <v>8</v>
      </c>
      <c r="F56" s="66" t="str">
        <f ca="1">IFERROR(__xludf.DUMMYFUNCTION("""COMPUTED_VALUE"""),"Юшенова Лариса Николаевна")</f>
        <v>Юшенова Лариса Николаевна</v>
      </c>
      <c r="G56" s="47">
        <f ca="1">IFERROR(__xludf.DUMMYFUNCTION("""COMPUTED_VALUE"""),5)</f>
        <v>5</v>
      </c>
      <c r="H56" s="47">
        <f ca="1">IFERROR(__xludf.DUMMYFUNCTION("""COMPUTED_VALUE"""),17)</f>
        <v>17</v>
      </c>
      <c r="I56" s="47">
        <f ca="1">IFERROR(__xludf.DUMMYFUNCTION("""COMPUTED_VALUE"""),3.5)</f>
        <v>3.5</v>
      </c>
      <c r="J56" s="47"/>
      <c r="K56" s="94">
        <f t="shared" ca="1" si="2"/>
        <v>25.5</v>
      </c>
      <c r="L56" s="95"/>
      <c r="M56" s="69">
        <f t="shared" ca="1" si="1"/>
        <v>25.5</v>
      </c>
      <c r="N56" s="48">
        <v>50</v>
      </c>
      <c r="O56" s="48" t="s">
        <v>83</v>
      </c>
      <c r="P56" s="48"/>
    </row>
    <row r="57" spans="1:17" ht="12.75" x14ac:dyDescent="0.2">
      <c r="A57" s="48">
        <v>51</v>
      </c>
      <c r="B57" s="70" t="str">
        <f ca="1">IFERROR(__xludf.DUMMYFUNCTION("""COMPUTED_VALUE"""),"Гуляев Артём Дмитриевич")</f>
        <v>Гуляев Артём Дмитриевич</v>
      </c>
      <c r="C57" s="70"/>
      <c r="D57" s="70" t="str">
        <f ca="1">IFERROR(__xludf.DUMMYFUNCTION("""COMPUTED_VALUE"""),"МОУ ""СОШ №1""")</f>
        <v>МОУ "СОШ №1"</v>
      </c>
      <c r="E57" s="48">
        <f ca="1">IFERROR(__xludf.DUMMYFUNCTION("""COMPUTED_VALUE"""),8)</f>
        <v>8</v>
      </c>
      <c r="F57" s="70" t="str">
        <f ca="1">IFERROR(__xludf.DUMMYFUNCTION("""COMPUTED_VALUE"""),"Борцова Оксана Юрьевна")</f>
        <v>Борцова Оксана Юрьевна</v>
      </c>
      <c r="G57" s="48">
        <f ca="1">IFERROR(__xludf.DUMMYFUNCTION("""COMPUTED_VALUE"""),7)</f>
        <v>7</v>
      </c>
      <c r="H57" s="48">
        <v>17</v>
      </c>
      <c r="I57" s="48">
        <v>1</v>
      </c>
      <c r="J57" s="48"/>
      <c r="K57" s="94">
        <f t="shared" ca="1" si="2"/>
        <v>25</v>
      </c>
      <c r="L57" s="70"/>
      <c r="M57" s="69">
        <f t="shared" ca="1" si="1"/>
        <v>25</v>
      </c>
      <c r="N57" s="48">
        <v>51</v>
      </c>
      <c r="O57" s="48" t="s">
        <v>83</v>
      </c>
      <c r="P57" s="48"/>
    </row>
    <row r="58" spans="1:17" ht="12.75" x14ac:dyDescent="0.2">
      <c r="A58" s="48">
        <v>52</v>
      </c>
      <c r="B58" s="70" t="str">
        <f ca="1">IFERROR(__xludf.DUMMYFUNCTION("IMPORTRANGE(""https://docs.google.com/spreadsheets/d/16CWr8ky6L0i1S4UOLMYHizeHS6aZnIDEnQPyRJyTpcI/edit#gid=0"", ""СОШ №4!B18:O22"")"),"Тёмкина Виолетта Антоновна")</f>
        <v>Тёмкина Виолетта Антоновна</v>
      </c>
      <c r="C58" s="70"/>
      <c r="D58" s="70" t="str">
        <f ca="1">IFERROR(__xludf.DUMMYFUNCTION("""COMPUTED_VALUE"""),"МОУ ""СОШ №4""")</f>
        <v>МОУ "СОШ №4"</v>
      </c>
      <c r="E58" s="48">
        <f ca="1">IFERROR(__xludf.DUMMYFUNCTION("""COMPUTED_VALUE"""),8)</f>
        <v>8</v>
      </c>
      <c r="F58" s="70" t="str">
        <f ca="1">IFERROR(__xludf.DUMMYFUNCTION("""COMPUTED_VALUE"""),"Шевченко Татьяна Петровна")</f>
        <v>Шевченко Татьяна Петровна</v>
      </c>
      <c r="G58" s="48">
        <f ca="1">IFERROR(__xludf.DUMMYFUNCTION("""COMPUTED_VALUE"""),8)</f>
        <v>8</v>
      </c>
      <c r="H58" s="48">
        <f ca="1">IFERROR(__xludf.DUMMYFUNCTION("""COMPUTED_VALUE"""),14)</f>
        <v>14</v>
      </c>
      <c r="I58" s="48">
        <f ca="1">IFERROR(__xludf.DUMMYFUNCTION("""COMPUTED_VALUE"""),3)</f>
        <v>3</v>
      </c>
      <c r="J58" s="48"/>
      <c r="K58" s="94">
        <f t="shared" ca="1" si="2"/>
        <v>25</v>
      </c>
      <c r="L58" s="95"/>
      <c r="M58" s="69">
        <f t="shared" ca="1" si="1"/>
        <v>25</v>
      </c>
      <c r="N58" s="47">
        <v>52</v>
      </c>
      <c r="O58" s="48" t="s">
        <v>83</v>
      </c>
      <c r="P58" s="48"/>
    </row>
    <row r="59" spans="1:17" ht="12.75" x14ac:dyDescent="0.2">
      <c r="A59" s="48">
        <v>53</v>
      </c>
      <c r="B59" s="70" t="str">
        <f ca="1">IFERROR(__xludf.DUMMYFUNCTION("""COMPUTED_VALUE"""),"Карпец Данил Александрович")</f>
        <v>Карпец Данил Александрович</v>
      </c>
      <c r="C59" s="70"/>
      <c r="D59" s="70" t="str">
        <f ca="1">IFERROR(__xludf.DUMMYFUNCTION("""COMPUTED_VALUE"""),"МОУ ""ООШ№10""")</f>
        <v>МОУ "ООШ№10"</v>
      </c>
      <c r="E59" s="48">
        <f ca="1">IFERROR(__xludf.DUMMYFUNCTION("""COMPUTED_VALUE"""),8)</f>
        <v>8</v>
      </c>
      <c r="F59" s="70" t="str">
        <f ca="1">IFERROR(__xludf.DUMMYFUNCTION("""COMPUTED_VALUE"""),"Бузюрова Оксана Васильевна")</f>
        <v>Бузюрова Оксана Васильевна</v>
      </c>
      <c r="G59" s="48">
        <f ca="1">IFERROR(__xludf.DUMMYFUNCTION("""COMPUTED_VALUE"""),5)</f>
        <v>5</v>
      </c>
      <c r="H59" s="48">
        <f ca="1">IFERROR(__xludf.DUMMYFUNCTION("""COMPUTED_VALUE"""),19)</f>
        <v>19</v>
      </c>
      <c r="I59" s="48">
        <f ca="1">IFERROR(__xludf.DUMMYFUNCTION("""COMPUTED_VALUE"""),1)</f>
        <v>1</v>
      </c>
      <c r="J59" s="48"/>
      <c r="K59" s="94">
        <f t="shared" ca="1" si="2"/>
        <v>25</v>
      </c>
      <c r="L59" s="95"/>
      <c r="M59" s="69">
        <f t="shared" ca="1" si="1"/>
        <v>25</v>
      </c>
      <c r="N59" s="48">
        <v>53</v>
      </c>
      <c r="O59" s="48" t="s">
        <v>83</v>
      </c>
      <c r="P59" s="48"/>
    </row>
    <row r="60" spans="1:17" ht="12.75" x14ac:dyDescent="0.2">
      <c r="A60" s="47">
        <v>54</v>
      </c>
      <c r="B60" s="71" t="str">
        <f ca="1">IFERROR(__xludf.DUMMYFUNCTION("IMPORTRANGE(""https://docs.google.com/spreadsheets/d/16CWr8ky6L0i1S4UOLMYHizeHS6aZnIDEnQPyRJyTpcI/edit#gid=0"", ""Нов. век!B18:O22"")"),"Корняков Георгий Денисович")</f>
        <v>Корняков Георгий Денисович</v>
      </c>
      <c r="C60" s="70"/>
      <c r="D60" s="70" t="str">
        <f ca="1">IFERROR(__xludf.DUMMYFUNCTION("""COMPUTED_VALUE"""),"МОУ ""СОШ им. Ю.А. Гагарина """)</f>
        <v>МОУ "СОШ им. Ю.А. Гагарина "</v>
      </c>
      <c r="E60" s="48">
        <f ca="1">IFERROR(__xludf.DUMMYFUNCTION("""COMPUTED_VALUE"""),8)</f>
        <v>8</v>
      </c>
      <c r="F60" s="70" t="str">
        <f ca="1">IFERROR(__xludf.DUMMYFUNCTION("""COMPUTED_VALUE"""),"Мищенко Ирина Николаевна")</f>
        <v>Мищенко Ирина Николаевна</v>
      </c>
      <c r="G60" s="48">
        <f ca="1">IFERROR(__xludf.DUMMYFUNCTION("""COMPUTED_VALUE"""),6)</f>
        <v>6</v>
      </c>
      <c r="H60" s="48">
        <f ca="1">IFERROR(__xludf.DUMMYFUNCTION("""COMPUTED_VALUE"""),15)</f>
        <v>15</v>
      </c>
      <c r="I60" s="48">
        <f ca="1">IFERROR(__xludf.DUMMYFUNCTION("""COMPUTED_VALUE"""),4)</f>
        <v>4</v>
      </c>
      <c r="J60" s="48"/>
      <c r="K60" s="94">
        <f t="shared" ca="1" si="2"/>
        <v>25</v>
      </c>
      <c r="L60" s="95"/>
      <c r="M60" s="69">
        <f t="shared" ca="1" si="1"/>
        <v>25</v>
      </c>
      <c r="N60" s="48">
        <v>54</v>
      </c>
      <c r="O60" s="48" t="s">
        <v>83</v>
      </c>
      <c r="P60" s="48"/>
    </row>
    <row r="61" spans="1:17" ht="12.75" x14ac:dyDescent="0.2">
      <c r="A61" s="48">
        <v>55</v>
      </c>
      <c r="B61" s="70" t="str">
        <f ca="1">IFERROR(__xludf.DUMMYFUNCTION("""COMPUTED_VALUE"""),"Простяков Никита Сергеевич")</f>
        <v>Простяков Никита Сергеевич</v>
      </c>
      <c r="C61" s="70"/>
      <c r="D61" s="70" t="str">
        <f ca="1">IFERROR(__xludf.DUMMYFUNCTION("""COMPUTED_VALUE"""),"МОУ ""СОШ №19""")</f>
        <v>МОУ "СОШ №19"</v>
      </c>
      <c r="E61" s="48">
        <f ca="1">IFERROR(__xludf.DUMMYFUNCTION("""COMPUTED_VALUE"""),8)</f>
        <v>8</v>
      </c>
      <c r="F61" s="70" t="str">
        <f ca="1">IFERROR(__xludf.DUMMYFUNCTION("""COMPUTED_VALUE"""),"Карташова Анна Александровна")</f>
        <v>Карташова Анна Александровна</v>
      </c>
      <c r="G61" s="48">
        <f ca="1">IFERROR(__xludf.DUMMYFUNCTION("""COMPUTED_VALUE"""),6)</f>
        <v>6</v>
      </c>
      <c r="H61" s="48">
        <v>16</v>
      </c>
      <c r="I61" s="48">
        <v>3</v>
      </c>
      <c r="J61" s="48"/>
      <c r="K61" s="94">
        <f t="shared" ca="1" si="2"/>
        <v>25</v>
      </c>
      <c r="L61" s="70"/>
      <c r="M61" s="69">
        <f t="shared" ca="1" si="1"/>
        <v>25</v>
      </c>
      <c r="N61" s="47">
        <v>55</v>
      </c>
      <c r="O61" s="48" t="s">
        <v>83</v>
      </c>
      <c r="P61" s="48"/>
      <c r="Q61" s="92"/>
    </row>
    <row r="62" spans="1:17" ht="12.75" x14ac:dyDescent="0.2">
      <c r="A62" s="48">
        <v>56</v>
      </c>
      <c r="B62" s="70" t="str">
        <f ca="1">IFERROR(__xludf.DUMMYFUNCTION("""COMPUTED_VALUE"""),"Тулемесова Виктория")</f>
        <v>Тулемесова Виктория</v>
      </c>
      <c r="C62" s="70"/>
      <c r="D62" s="70" t="str">
        <f ca="1">IFERROR(__xludf.DUMMYFUNCTION("""COMPUTED_VALUE"""),"МОУ ""СОШ №31""")</f>
        <v>МОУ "СОШ №31"</v>
      </c>
      <c r="E62" s="48">
        <f ca="1">IFERROR(__xludf.DUMMYFUNCTION("""COMPUTED_VALUE"""),8)</f>
        <v>8</v>
      </c>
      <c r="F62" s="70" t="str">
        <f ca="1">IFERROR(__xludf.DUMMYFUNCTION("""COMPUTED_VALUE"""),"Котлярова Евгения Владимировна")</f>
        <v>Котлярова Евгения Владимировна</v>
      </c>
      <c r="G62" s="48">
        <f ca="1">IFERROR(__xludf.DUMMYFUNCTION("""COMPUTED_VALUE"""),8)</f>
        <v>8</v>
      </c>
      <c r="H62" s="48">
        <v>14</v>
      </c>
      <c r="I62" s="48">
        <v>3</v>
      </c>
      <c r="J62" s="48"/>
      <c r="K62" s="94">
        <f t="shared" ca="1" si="2"/>
        <v>25</v>
      </c>
      <c r="L62" s="70"/>
      <c r="M62" s="69">
        <f t="shared" ca="1" si="1"/>
        <v>25</v>
      </c>
      <c r="N62" s="48">
        <v>56</v>
      </c>
      <c r="O62" s="48" t="s">
        <v>83</v>
      </c>
      <c r="P62" s="48"/>
      <c r="Q62" s="92"/>
    </row>
    <row r="63" spans="1:17" ht="12.75" x14ac:dyDescent="0.2">
      <c r="A63" s="47">
        <v>57</v>
      </c>
      <c r="B63" s="70" t="str">
        <f ca="1">IFERROR(__xludf.DUMMYFUNCTION("""COMPUTED_VALUE"""),"Полонская Анастасия Петровна")</f>
        <v>Полонская Анастасия Петровна</v>
      </c>
      <c r="C63" s="70"/>
      <c r="D63" s="70" t="str">
        <f ca="1">IFERROR(__xludf.DUMMYFUNCTION("""COMPUTED_VALUE"""),"МОУ ""СОШ №33""")</f>
        <v>МОУ "СОШ №33"</v>
      </c>
      <c r="E63" s="48">
        <f ca="1">IFERROR(__xludf.DUMMYFUNCTION("""COMPUTED_VALUE"""),8)</f>
        <v>8</v>
      </c>
      <c r="F63" s="70" t="str">
        <f ca="1">IFERROR(__xludf.DUMMYFUNCTION("""COMPUTED_VALUE"""),"Сибряева Надежда Васильевна")</f>
        <v>Сибряева Надежда Васильевна</v>
      </c>
      <c r="G63" s="48">
        <f ca="1">IFERROR(__xludf.DUMMYFUNCTION("""COMPUTED_VALUE"""),5)</f>
        <v>5</v>
      </c>
      <c r="H63" s="48">
        <f ca="1">IFERROR(__xludf.DUMMYFUNCTION("""COMPUTED_VALUE"""),17)</f>
        <v>17</v>
      </c>
      <c r="I63" s="48">
        <f ca="1">IFERROR(__xludf.DUMMYFUNCTION("""COMPUTED_VALUE"""),3)</f>
        <v>3</v>
      </c>
      <c r="J63" s="48"/>
      <c r="K63" s="94">
        <f t="shared" ca="1" si="2"/>
        <v>25</v>
      </c>
      <c r="L63" s="95"/>
      <c r="M63" s="69">
        <f t="shared" ca="1" si="1"/>
        <v>25</v>
      </c>
      <c r="N63" s="48">
        <v>57</v>
      </c>
      <c r="O63" s="48" t="s">
        <v>83</v>
      </c>
      <c r="P63" s="48"/>
    </row>
    <row r="64" spans="1:17" ht="12.75" x14ac:dyDescent="0.2">
      <c r="A64" s="48">
        <v>58</v>
      </c>
      <c r="B64" s="70" t="str">
        <f ca="1">IFERROR(__xludf.DUMMYFUNCTION("IMPORTRANGE(""https://docs.google.com/spreadsheets/d/16CWr8ky6L0i1S4UOLMYHizeHS6aZnIDEnQPyRJyTpcI/edit#gid=0"", ""СОШ №19!B18:O22"")"),"Ряхин Дмитрий Олегович")</f>
        <v>Ряхин Дмитрий Олегович</v>
      </c>
      <c r="C64" s="70"/>
      <c r="D64" s="70" t="str">
        <f ca="1">IFERROR(__xludf.DUMMYFUNCTION("""COMPUTED_VALUE"""),"МОУ ""СОШ №19""")</f>
        <v>МОУ "СОШ №19"</v>
      </c>
      <c r="E64" s="48">
        <f ca="1">IFERROR(__xludf.DUMMYFUNCTION("""COMPUTED_VALUE"""),8)</f>
        <v>8</v>
      </c>
      <c r="F64" s="70" t="str">
        <f ca="1">IFERROR(__xludf.DUMMYFUNCTION("""COMPUTED_VALUE"""),"Карташова Анна Александровна")</f>
        <v>Карташова Анна Александровна</v>
      </c>
      <c r="G64" s="48">
        <f ca="1">IFERROR(__xludf.DUMMYFUNCTION("""COMPUTED_VALUE"""),7)</f>
        <v>7</v>
      </c>
      <c r="H64" s="48">
        <v>15</v>
      </c>
      <c r="I64" s="48">
        <v>2</v>
      </c>
      <c r="J64" s="48"/>
      <c r="K64" s="94">
        <f t="shared" ca="1" si="2"/>
        <v>24</v>
      </c>
      <c r="L64" s="70"/>
      <c r="M64" s="69">
        <f t="shared" ca="1" si="1"/>
        <v>24</v>
      </c>
      <c r="N64" s="47">
        <v>58</v>
      </c>
      <c r="O64" s="48" t="s">
        <v>83</v>
      </c>
      <c r="P64" s="48"/>
    </row>
    <row r="65" spans="1:16" ht="12.75" x14ac:dyDescent="0.2">
      <c r="A65" s="48">
        <v>59</v>
      </c>
      <c r="B65" s="70" t="str">
        <f ca="1">IFERROR(__xludf.DUMMYFUNCTION("""COMPUTED_VALUE"""),"Устинов Леонид Александрович")</f>
        <v>Устинов Леонид Александрович</v>
      </c>
      <c r="C65" s="70"/>
      <c r="D65" s="70" t="str">
        <f ca="1">IFERROR(__xludf.DUMMYFUNCTION("""COMPUTED_VALUE"""),"МОУ ""СОШ №19""")</f>
        <v>МОУ "СОШ №19"</v>
      </c>
      <c r="E65" s="48">
        <f ca="1">IFERROR(__xludf.DUMMYFUNCTION("""COMPUTED_VALUE"""),8)</f>
        <v>8</v>
      </c>
      <c r="F65" s="70" t="str">
        <f ca="1">IFERROR(__xludf.DUMMYFUNCTION("""COMPUTED_VALUE"""),"Карташова Анна Александровна")</f>
        <v>Карташова Анна Александровна</v>
      </c>
      <c r="G65" s="48">
        <f ca="1">IFERROR(__xludf.DUMMYFUNCTION("""COMPUTED_VALUE"""),6)</f>
        <v>6</v>
      </c>
      <c r="H65" s="48">
        <v>16</v>
      </c>
      <c r="I65" s="48">
        <v>2</v>
      </c>
      <c r="J65" s="48"/>
      <c r="K65" s="94">
        <f t="shared" ca="1" si="2"/>
        <v>24</v>
      </c>
      <c r="L65" s="70"/>
      <c r="M65" s="69">
        <f t="shared" ca="1" si="1"/>
        <v>24</v>
      </c>
      <c r="N65" s="48">
        <v>59</v>
      </c>
      <c r="O65" s="48" t="s">
        <v>83</v>
      </c>
      <c r="P65" s="48"/>
    </row>
    <row r="66" spans="1:16" ht="12.75" x14ac:dyDescent="0.2">
      <c r="A66" s="48">
        <v>60</v>
      </c>
      <c r="B66" s="70" t="str">
        <f ca="1">IFERROR(__xludf.DUMMYFUNCTION("""COMPUTED_VALUE"""),"Лобачев Артур")</f>
        <v>Лобачев Артур</v>
      </c>
      <c r="C66" s="70"/>
      <c r="D66" s="70" t="str">
        <f ca="1">IFERROR(__xludf.DUMMYFUNCTION("""COMPUTED_VALUE"""),"МОУ ""СОШ №31""")</f>
        <v>МОУ "СОШ №31"</v>
      </c>
      <c r="E66" s="48">
        <f ca="1">IFERROR(__xludf.DUMMYFUNCTION("""COMPUTED_VALUE"""),8)</f>
        <v>8</v>
      </c>
      <c r="F66" s="70" t="str">
        <f ca="1">IFERROR(__xludf.DUMMYFUNCTION("""COMPUTED_VALUE"""),"Котлярова Евгения Владимировна")</f>
        <v>Котлярова Евгения Владимировна</v>
      </c>
      <c r="G66" s="48">
        <f ca="1">IFERROR(__xludf.DUMMYFUNCTION("""COMPUTED_VALUE"""),7)</f>
        <v>7</v>
      </c>
      <c r="H66" s="48">
        <v>14</v>
      </c>
      <c r="I66" s="48">
        <v>3</v>
      </c>
      <c r="J66" s="48"/>
      <c r="K66" s="94">
        <f t="shared" ca="1" si="2"/>
        <v>24</v>
      </c>
      <c r="L66" s="70"/>
      <c r="M66" s="69">
        <f t="shared" ca="1" si="1"/>
        <v>24</v>
      </c>
      <c r="N66" s="48">
        <v>60</v>
      </c>
      <c r="O66" s="48" t="s">
        <v>83</v>
      </c>
      <c r="P66" s="48"/>
    </row>
    <row r="67" spans="1:16" ht="12.75" x14ac:dyDescent="0.2">
      <c r="A67" s="47">
        <v>61</v>
      </c>
      <c r="B67" s="70" t="str">
        <f ca="1">IFERROR(__xludf.DUMMYFUNCTION("""COMPUTED_VALUE"""),"Парфенов Богдан Рафаилович")</f>
        <v>Парфенов Богдан Рафаилович</v>
      </c>
      <c r="C67" s="70"/>
      <c r="D67" s="7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67" s="48">
        <f ca="1">IFERROR(__xludf.DUMMYFUNCTION("""COMPUTED_VALUE"""),8)</f>
        <v>8</v>
      </c>
      <c r="F67" s="70" t="str">
        <f ca="1">IFERROR(__xludf.DUMMYFUNCTION("""COMPUTED_VALUE"""),"Новинкина Светлана Габдулловна")</f>
        <v>Новинкина Светлана Габдулловна</v>
      </c>
      <c r="G67" s="48">
        <f ca="1">IFERROR(__xludf.DUMMYFUNCTION("""COMPUTED_VALUE"""),6)</f>
        <v>6</v>
      </c>
      <c r="H67" s="48">
        <f ca="1">IFERROR(__xludf.DUMMYFUNCTION("""COMPUTED_VALUE"""),16)</f>
        <v>16</v>
      </c>
      <c r="I67" s="48">
        <f ca="1">IFERROR(__xludf.DUMMYFUNCTION("""COMPUTED_VALUE"""),2)</f>
        <v>2</v>
      </c>
      <c r="J67" s="48"/>
      <c r="K67" s="94">
        <f t="shared" ca="1" si="2"/>
        <v>24</v>
      </c>
      <c r="L67" s="95"/>
      <c r="M67" s="69">
        <f t="shared" ca="1" si="1"/>
        <v>24</v>
      </c>
      <c r="N67" s="47">
        <v>61</v>
      </c>
      <c r="O67" s="48" t="s">
        <v>83</v>
      </c>
      <c r="P67" s="48"/>
    </row>
    <row r="68" spans="1:16" ht="12.75" x14ac:dyDescent="0.2">
      <c r="A68" s="48">
        <v>62</v>
      </c>
      <c r="B68" s="66" t="str">
        <f ca="1">IFERROR(__xludf.DUMMYFUNCTION("""COMPUTED_VALUE"""),"Кузьмина Мария Дмитриевна ")</f>
        <v xml:space="preserve">Кузьмина Мария Дмитриевна </v>
      </c>
      <c r="C68" s="66"/>
      <c r="D68" s="66" t="str">
        <f ca="1">IFERROR(__xludf.DUMMYFUNCTION("""COMPUTED_VALUE"""),"МОУ ""СОШ с. Березовка""")</f>
        <v>МОУ "СОШ с. Березовка"</v>
      </c>
      <c r="E68" s="47">
        <f ca="1">IFERROR(__xludf.DUMMYFUNCTION("""COMPUTED_VALUE"""),8)</f>
        <v>8</v>
      </c>
      <c r="F68" s="66" t="str">
        <f ca="1">IFERROR(__xludf.DUMMYFUNCTION("""COMPUTED_VALUE"""),"Турсумбек Нагима Айгалиевна ")</f>
        <v xml:space="preserve">Турсумбек Нагима Айгалиевна </v>
      </c>
      <c r="G68" s="47">
        <f ca="1">IFERROR(__xludf.DUMMYFUNCTION("""COMPUTED_VALUE"""),8)</f>
        <v>8</v>
      </c>
      <c r="H68" s="47">
        <f ca="1">IFERROR(__xludf.DUMMYFUNCTION("""COMPUTED_VALUE"""),12)</f>
        <v>12</v>
      </c>
      <c r="I68" s="47">
        <f ca="1">IFERROR(__xludf.DUMMYFUNCTION("""COMPUTED_VALUE"""),4)</f>
        <v>4</v>
      </c>
      <c r="J68" s="47"/>
      <c r="K68" s="94">
        <f t="shared" ca="1" si="2"/>
        <v>24</v>
      </c>
      <c r="L68" s="95"/>
      <c r="M68" s="69">
        <f t="shared" ca="1" si="1"/>
        <v>24</v>
      </c>
      <c r="N68" s="48">
        <v>62</v>
      </c>
      <c r="O68" s="48" t="s">
        <v>83</v>
      </c>
      <c r="P68" s="48"/>
    </row>
    <row r="69" spans="1:16" ht="12.75" x14ac:dyDescent="0.2">
      <c r="A69" s="48">
        <v>63</v>
      </c>
      <c r="B69" s="71" t="str">
        <f ca="1">IFERROR(__xludf.DUMMYFUNCTION("IMPORTRANGE(""https://docs.google.com/spreadsheets/d/16CWr8ky6L0i1S4UOLMYHizeHS6aZnIDEnQPyRJyTpcI/edit#gid=0"", ""СОШ п. Придорожный!B18:O22"")"),"Дустанов Алмаз Азаматович")</f>
        <v>Дустанов Алмаз Азаматович</v>
      </c>
      <c r="C69" s="66"/>
      <c r="D69" s="66" t="str">
        <f ca="1">IFERROR(__xludf.DUMMYFUNCTION("""COMPUTED_VALUE"""),"МОУ ""СОШ п. Придорожный""")</f>
        <v>МОУ "СОШ п. Придорожный"</v>
      </c>
      <c r="E69" s="47">
        <f ca="1">IFERROR(__xludf.DUMMYFUNCTION("""COMPUTED_VALUE"""),8)</f>
        <v>8</v>
      </c>
      <c r="F69" s="66" t="str">
        <f ca="1">IFERROR(__xludf.DUMMYFUNCTION("""COMPUTED_VALUE"""),"Демешко Екатерина Валерьевна")</f>
        <v>Демешко Екатерина Валерьевна</v>
      </c>
      <c r="G69" s="47">
        <f ca="1">IFERROR(__xludf.DUMMYFUNCTION("""COMPUTED_VALUE"""),7)</f>
        <v>7</v>
      </c>
      <c r="H69" s="47">
        <v>14</v>
      </c>
      <c r="I69" s="47">
        <v>3</v>
      </c>
      <c r="J69" s="47"/>
      <c r="K69" s="94">
        <f t="shared" ca="1" si="2"/>
        <v>24</v>
      </c>
      <c r="L69" s="70"/>
      <c r="M69" s="69">
        <f t="shared" ca="1" si="1"/>
        <v>24</v>
      </c>
      <c r="N69" s="48">
        <v>63</v>
      </c>
      <c r="O69" s="48" t="s">
        <v>83</v>
      </c>
      <c r="P69" s="48"/>
    </row>
    <row r="70" spans="1:16" ht="12.75" x14ac:dyDescent="0.2">
      <c r="A70" s="47">
        <v>64</v>
      </c>
      <c r="B70" s="66" t="str">
        <f ca="1">IFERROR(__xludf.DUMMYFUNCTION("""COMPUTED_VALUE"""),"Расулова Амина Хуршидовна")</f>
        <v>Расулова Амина Хуршидовна</v>
      </c>
      <c r="C70" s="66"/>
      <c r="D70" s="66" t="str">
        <f ca="1">IFERROR(__xludf.DUMMYFUNCTION("""COMPUTED_VALUE"""),"МОУ ""СОШ п. Придорожный""")</f>
        <v>МОУ "СОШ п. Придорожный"</v>
      </c>
      <c r="E70" s="47">
        <f ca="1">IFERROR(__xludf.DUMMYFUNCTION("""COMPUTED_VALUE"""),8)</f>
        <v>8</v>
      </c>
      <c r="F70" s="66" t="str">
        <f ca="1">IFERROR(__xludf.DUMMYFUNCTION("""COMPUTED_VALUE"""),"Демешко Екатерина Валерьевна")</f>
        <v>Демешко Екатерина Валерьевна</v>
      </c>
      <c r="G70" s="47">
        <f ca="1">IFERROR(__xludf.DUMMYFUNCTION("""COMPUTED_VALUE"""),6)</f>
        <v>6</v>
      </c>
      <c r="H70" s="47">
        <v>15</v>
      </c>
      <c r="I70" s="47">
        <v>3</v>
      </c>
      <c r="J70" s="47"/>
      <c r="K70" s="94">
        <f t="shared" ca="1" si="2"/>
        <v>24</v>
      </c>
      <c r="L70" s="70"/>
      <c r="M70" s="69">
        <f t="shared" ca="1" si="1"/>
        <v>24</v>
      </c>
      <c r="N70" s="47">
        <v>64</v>
      </c>
      <c r="O70" s="48" t="s">
        <v>83</v>
      </c>
      <c r="P70" s="48"/>
    </row>
    <row r="71" spans="1:16" ht="12.75" x14ac:dyDescent="0.2">
      <c r="A71" s="48">
        <v>65</v>
      </c>
      <c r="B71" s="71" t="str">
        <f ca="1">IFERROR(__xludf.DUMMYFUNCTION("IMPORTRANGE(""https://docs.google.com/spreadsheets/d/16CWr8ky6L0i1S4UOLMYHizeHS6aZnIDEnQPyRJyTpcI/edit#gid=0"", ""ООШ с. Старицкое!B18:O22"")"),"Минаева Ангелина Алексеевна")</f>
        <v>Минаева Ангелина Алексеевна</v>
      </c>
      <c r="C71" s="66"/>
      <c r="D71" s="66" t="str">
        <f ca="1">IFERROR(__xludf.DUMMYFUNCTION("""COMPUTED_VALUE"""),"МОУ ""ООШ с. Старицкое")</f>
        <v>МОУ "ООШ с. Старицкое</v>
      </c>
      <c r="E71" s="47">
        <f ca="1">IFERROR(__xludf.DUMMYFUNCTION("""COMPUTED_VALUE"""),8)</f>
        <v>8</v>
      </c>
      <c r="F71" s="66" t="str">
        <f ca="1">IFERROR(__xludf.DUMMYFUNCTION("""COMPUTED_VALUE"""),"Пономарева Елена Николаевна")</f>
        <v>Пономарева Елена Николаевна</v>
      </c>
      <c r="G71" s="47">
        <f ca="1">IFERROR(__xludf.DUMMYFUNCTION("""COMPUTED_VALUE"""),5)</f>
        <v>5</v>
      </c>
      <c r="H71" s="47">
        <f ca="1">IFERROR(__xludf.DUMMYFUNCTION("""COMPUTED_VALUE"""),15)</f>
        <v>15</v>
      </c>
      <c r="I71" s="47">
        <f ca="1">IFERROR(__xludf.DUMMYFUNCTION("""COMPUTED_VALUE"""),4)</f>
        <v>4</v>
      </c>
      <c r="J71" s="47"/>
      <c r="K71" s="94">
        <f t="shared" ref="K71:K100" ca="1" si="3">SUM(G71:I71)</f>
        <v>24</v>
      </c>
      <c r="L71" s="95"/>
      <c r="M71" s="69">
        <f t="shared" ca="1" si="1"/>
        <v>24</v>
      </c>
      <c r="N71" s="48">
        <v>65</v>
      </c>
      <c r="O71" s="48" t="s">
        <v>83</v>
      </c>
      <c r="P71" s="48"/>
    </row>
    <row r="72" spans="1:16" ht="12.75" x14ac:dyDescent="0.2">
      <c r="A72" s="48">
        <v>66</v>
      </c>
      <c r="B72" s="70" t="str">
        <f ca="1">IFERROR(__xludf.DUMMYFUNCTION("""COMPUTED_VALUE"""),"Мурзак Полина Андреевна")</f>
        <v>Мурзак Полина Андреевна</v>
      </c>
      <c r="C72" s="70"/>
      <c r="D72" s="70" t="str">
        <f ca="1">IFERROR(__xludf.DUMMYFUNCTION("""COMPUTED_VALUE"""),"МОУ ""СОШ №9""")</f>
        <v>МОУ "СОШ №9"</v>
      </c>
      <c r="E72" s="48">
        <f ca="1">IFERROR(__xludf.DUMMYFUNCTION("""COMPUTED_VALUE"""),8)</f>
        <v>8</v>
      </c>
      <c r="F72" s="70" t="str">
        <f ca="1">IFERROR(__xludf.DUMMYFUNCTION("""COMPUTED_VALUE"""),"Головчанская Наталия Евгеньевна")</f>
        <v>Головчанская Наталия Евгеньевна</v>
      </c>
      <c r="G72" s="48">
        <f ca="1">IFERROR(__xludf.DUMMYFUNCTION("""COMPUTED_VALUE"""),4)</f>
        <v>4</v>
      </c>
      <c r="H72" s="48">
        <f ca="1">IFERROR(__xludf.DUMMYFUNCTION("""COMPUTED_VALUE"""),16)</f>
        <v>16</v>
      </c>
      <c r="I72" s="48">
        <f ca="1">IFERROR(__xludf.DUMMYFUNCTION("""COMPUTED_VALUE"""),3)</f>
        <v>3</v>
      </c>
      <c r="J72" s="48"/>
      <c r="K72" s="94">
        <f t="shared" ca="1" si="3"/>
        <v>23</v>
      </c>
      <c r="L72" s="95"/>
      <c r="M72" s="69">
        <f t="shared" ref="M72:M89" ca="1" si="4">K72</f>
        <v>23</v>
      </c>
      <c r="N72" s="48">
        <v>66</v>
      </c>
      <c r="O72" s="48" t="s">
        <v>83</v>
      </c>
      <c r="P72" s="48"/>
    </row>
    <row r="73" spans="1:16" ht="12.75" x14ac:dyDescent="0.2">
      <c r="A73" s="48">
        <v>67</v>
      </c>
      <c r="B73" s="70" t="str">
        <f ca="1">IFERROR(__xludf.DUMMYFUNCTION("""COMPUTED_VALUE"""),"Гореликова Елена Александровна")</f>
        <v>Гореликова Елена Александровна</v>
      </c>
      <c r="C73" s="70"/>
      <c r="D73" s="70" t="str">
        <f ca="1">IFERROR(__xludf.DUMMYFUNCTION("""COMPUTED_VALUE"""),"МОУ ""МЭЛ им. Шнитке А.Г.""")</f>
        <v>МОУ "МЭЛ им. Шнитке А.Г."</v>
      </c>
      <c r="E73" s="48">
        <f ca="1">IFERROR(__xludf.DUMMYFUNCTION("""COMPUTED_VALUE"""),8)</f>
        <v>8</v>
      </c>
      <c r="F73" s="70" t="str">
        <f ca="1">IFERROR(__xludf.DUMMYFUNCTION("""COMPUTED_VALUE"""),"Мотавкина Светлана Сергеевна")</f>
        <v>Мотавкина Светлана Сергеевна</v>
      </c>
      <c r="G73" s="48">
        <f ca="1">IFERROR(__xludf.DUMMYFUNCTION("""COMPUTED_VALUE"""),4)</f>
        <v>4</v>
      </c>
      <c r="H73" s="48">
        <f ca="1">IFERROR(__xludf.DUMMYFUNCTION("""COMPUTED_VALUE"""),18)</f>
        <v>18</v>
      </c>
      <c r="I73" s="48">
        <f ca="1">IFERROR(__xludf.DUMMYFUNCTION("""COMPUTED_VALUE"""),1)</f>
        <v>1</v>
      </c>
      <c r="J73" s="48"/>
      <c r="K73" s="94">
        <f t="shared" ca="1" si="3"/>
        <v>23</v>
      </c>
      <c r="L73" s="95"/>
      <c r="M73" s="69">
        <f t="shared" ca="1" si="4"/>
        <v>23</v>
      </c>
      <c r="N73" s="47">
        <v>67</v>
      </c>
      <c r="O73" s="48" t="s">
        <v>83</v>
      </c>
      <c r="P73" s="48"/>
    </row>
    <row r="74" spans="1:16" ht="12.75" x14ac:dyDescent="0.2">
      <c r="A74" s="47">
        <v>68</v>
      </c>
      <c r="B74" s="66" t="str">
        <f ca="1">IFERROR(__xludf.DUMMYFUNCTION("""COMPUTED_VALUE"""),"Гасанова Алина Хуршидовна")</f>
        <v>Гасанова Алина Хуршидовна</v>
      </c>
      <c r="C74" s="66"/>
      <c r="D74" s="66" t="str">
        <f ca="1">IFERROR(__xludf.DUMMYFUNCTION("""COMPUTED_VALUE"""),"МОУ ""СОШ п. Придорожный""")</f>
        <v>МОУ "СОШ п. Придорожный"</v>
      </c>
      <c r="E74" s="47">
        <f ca="1">IFERROR(__xludf.DUMMYFUNCTION("""COMPUTED_VALUE"""),8)</f>
        <v>8</v>
      </c>
      <c r="F74" s="66" t="str">
        <f ca="1">IFERROR(__xludf.DUMMYFUNCTION("""COMPUTED_VALUE"""),"Демешко Екатерина Валерьевна")</f>
        <v>Демешко Екатерина Валерьевна</v>
      </c>
      <c r="G74" s="47">
        <f ca="1">IFERROR(__xludf.DUMMYFUNCTION("""COMPUTED_VALUE"""),7)</f>
        <v>7</v>
      </c>
      <c r="H74" s="47">
        <v>14</v>
      </c>
      <c r="I74" s="47">
        <v>2</v>
      </c>
      <c r="J74" s="47"/>
      <c r="K74" s="94">
        <f t="shared" ca="1" si="3"/>
        <v>23</v>
      </c>
      <c r="L74" s="70"/>
      <c r="M74" s="69">
        <f t="shared" ca="1" si="4"/>
        <v>23</v>
      </c>
      <c r="N74" s="48">
        <v>68</v>
      </c>
      <c r="O74" s="48" t="s">
        <v>83</v>
      </c>
      <c r="P74" s="48"/>
    </row>
    <row r="75" spans="1:16" ht="12.75" x14ac:dyDescent="0.2">
      <c r="A75" s="48">
        <v>69</v>
      </c>
      <c r="B75" s="71" t="str">
        <f ca="1">IFERROR(__xludf.DUMMYFUNCTION("IMPORTRANGE(""https://docs.google.com/spreadsheets/d/16CWr8ky6L0i1S4UOLMYHizeHS6aZnIDEnQPyRJyTpcI/edit#gid=0"", ""ООШ п. Прибрежный!B18:O22"")"),"Усманова Милана Данияровна")</f>
        <v>Усманова Милана Данияровна</v>
      </c>
      <c r="C75" s="66"/>
      <c r="D75" s="66" t="str">
        <f ca="1">IFERROR(__xludf.DUMMYFUNCTION("""COMPUTED_VALUE"""),"МОУ ""ООШ п. Прибрежный""")</f>
        <v>МОУ "ООШ п. Прибрежный"</v>
      </c>
      <c r="E75" s="47">
        <f ca="1">IFERROR(__xludf.DUMMYFUNCTION("""COMPUTED_VALUE"""),8)</f>
        <v>8</v>
      </c>
      <c r="F75" s="66" t="str">
        <f ca="1">IFERROR(__xludf.DUMMYFUNCTION("""COMPUTED_VALUE"""),"Пономарева Надежда Анатольевна")</f>
        <v>Пономарева Надежда Анатольевна</v>
      </c>
      <c r="G75" s="47">
        <f ca="1">IFERROR(__xludf.DUMMYFUNCTION("""COMPUTED_VALUE"""),4)</f>
        <v>4</v>
      </c>
      <c r="H75" s="47">
        <f ca="1">IFERROR(__xludf.DUMMYFUNCTION("""COMPUTED_VALUE"""),15)</f>
        <v>15</v>
      </c>
      <c r="I75" s="47">
        <f ca="1">IFERROR(__xludf.DUMMYFUNCTION("""COMPUTED_VALUE"""),4)</f>
        <v>4</v>
      </c>
      <c r="J75" s="47"/>
      <c r="K75" s="94">
        <f t="shared" ca="1" si="3"/>
        <v>23</v>
      </c>
      <c r="L75" s="95"/>
      <c r="M75" s="69">
        <f t="shared" ca="1" si="4"/>
        <v>23</v>
      </c>
      <c r="N75" s="48">
        <v>69</v>
      </c>
      <c r="O75" s="48" t="s">
        <v>83</v>
      </c>
      <c r="P75" s="48"/>
    </row>
    <row r="76" spans="1:16" ht="12.75" x14ac:dyDescent="0.2">
      <c r="A76" s="48">
        <v>70</v>
      </c>
      <c r="B76" s="70" t="str">
        <f ca="1">IFERROR(__xludf.DUMMYFUNCTION("""COMPUTED_VALUE"""),"Богаткина Елизавета Александровна")</f>
        <v>Богаткина Елизавета Александровна</v>
      </c>
      <c r="C76" s="70"/>
      <c r="D76" s="70" t="str">
        <f ca="1">IFERROR(__xludf.DUMMYFUNCTION("""COMPUTED_VALUE"""),"МОУ ""СОШ №4""")</f>
        <v>МОУ "СОШ №4"</v>
      </c>
      <c r="E76" s="48">
        <f ca="1">IFERROR(__xludf.DUMMYFUNCTION("""COMPUTED_VALUE"""),8)</f>
        <v>8</v>
      </c>
      <c r="F76" s="70" t="str">
        <f ca="1">IFERROR(__xludf.DUMMYFUNCTION("""COMPUTED_VALUE"""),"Шевченко Татьяна Петровна")</f>
        <v>Шевченко Татьяна Петровна</v>
      </c>
      <c r="G76" s="48">
        <f ca="1">IFERROR(__xludf.DUMMYFUNCTION("""COMPUTED_VALUE"""),9)</f>
        <v>9</v>
      </c>
      <c r="H76" s="48">
        <f ca="1">IFERROR(__xludf.DUMMYFUNCTION("""COMPUTED_VALUE"""),13)</f>
        <v>13</v>
      </c>
      <c r="I76" s="48">
        <f ca="1">IFERROR(__xludf.DUMMYFUNCTION("""COMPUTED_VALUE"""),0)</f>
        <v>0</v>
      </c>
      <c r="J76" s="48"/>
      <c r="K76" s="94">
        <f t="shared" ca="1" si="3"/>
        <v>22</v>
      </c>
      <c r="L76" s="95"/>
      <c r="M76" s="69">
        <f t="shared" ca="1" si="4"/>
        <v>22</v>
      </c>
      <c r="N76" s="47">
        <v>70</v>
      </c>
      <c r="O76" s="48" t="s">
        <v>83</v>
      </c>
      <c r="P76" s="48"/>
    </row>
    <row r="77" spans="1:16" ht="12.75" x14ac:dyDescent="0.2">
      <c r="A77" s="47">
        <v>71</v>
      </c>
      <c r="B77" s="70" t="str">
        <f ca="1">IFERROR(__xludf.DUMMYFUNCTION("""COMPUTED_VALUE"""),"Климкин Владислав Николаевич")</f>
        <v>Климкин Владислав Николаевич</v>
      </c>
      <c r="C77" s="70"/>
      <c r="D77" s="70" t="str">
        <f ca="1">IFERROR(__xludf.DUMMYFUNCTION("""COMPUTED_VALUE"""),"МОУ ""СОШ им. Ю.А. Гагарина """)</f>
        <v>МОУ "СОШ им. Ю.А. Гагарина "</v>
      </c>
      <c r="E77" s="48">
        <f ca="1">IFERROR(__xludf.DUMMYFUNCTION("""COMPUTED_VALUE"""),8)</f>
        <v>8</v>
      </c>
      <c r="F77" s="70" t="str">
        <f ca="1">IFERROR(__xludf.DUMMYFUNCTION("""COMPUTED_VALUE"""),"Мищенко Ирина Николаевна")</f>
        <v>Мищенко Ирина Николаевна</v>
      </c>
      <c r="G77" s="48">
        <f ca="1">IFERROR(__xludf.DUMMYFUNCTION("""COMPUTED_VALUE"""),4)</f>
        <v>4</v>
      </c>
      <c r="H77" s="48">
        <f ca="1">IFERROR(__xludf.DUMMYFUNCTION("""COMPUTED_VALUE"""),17)</f>
        <v>17</v>
      </c>
      <c r="I77" s="48">
        <f ca="1">IFERROR(__xludf.DUMMYFUNCTION("""COMPUTED_VALUE"""),1)</f>
        <v>1</v>
      </c>
      <c r="J77" s="48"/>
      <c r="K77" s="94">
        <f t="shared" ca="1" si="3"/>
        <v>22</v>
      </c>
      <c r="L77" s="95"/>
      <c r="M77" s="69">
        <f t="shared" ca="1" si="4"/>
        <v>22</v>
      </c>
      <c r="N77" s="48">
        <v>71</v>
      </c>
      <c r="O77" s="48" t="s">
        <v>83</v>
      </c>
      <c r="P77" s="48"/>
    </row>
    <row r="78" spans="1:16" ht="12.75" x14ac:dyDescent="0.2">
      <c r="A78" s="48">
        <v>72</v>
      </c>
      <c r="B78" s="70" t="str">
        <f ca="1">IFERROR(__xludf.DUMMYFUNCTION("""COMPUTED_VALUE"""),"Ульянова Анастасия Витальевна")</f>
        <v>Ульянова Анастасия Витальевна</v>
      </c>
      <c r="C78" s="70"/>
      <c r="D78" s="70" t="str">
        <f ca="1">IFERROR(__xludf.DUMMYFUNCTION("""COMPUTED_VALUE"""),"МОУ ""СОШ №24""")</f>
        <v>МОУ "СОШ №24"</v>
      </c>
      <c r="E78" s="48">
        <f ca="1">IFERROR(__xludf.DUMMYFUNCTION("""COMPUTED_VALUE"""),8)</f>
        <v>8</v>
      </c>
      <c r="F78" s="70" t="str">
        <f ca="1">IFERROR(__xludf.DUMMYFUNCTION("""COMPUTED_VALUE"""),"Моисеева Татьяна Владимировна")</f>
        <v>Моисеева Татьяна Владимировна</v>
      </c>
      <c r="G78" s="48">
        <f ca="1">IFERROR(__xludf.DUMMYFUNCTION("""COMPUTED_VALUE"""),5)</f>
        <v>5</v>
      </c>
      <c r="H78" s="48">
        <f ca="1">IFERROR(__xludf.DUMMYFUNCTION("""COMPUTED_VALUE"""),15)</f>
        <v>15</v>
      </c>
      <c r="I78" s="48">
        <f ca="1">IFERROR(__xludf.DUMMYFUNCTION("""COMPUTED_VALUE"""),2)</f>
        <v>2</v>
      </c>
      <c r="J78" s="48"/>
      <c r="K78" s="94">
        <f t="shared" ca="1" si="3"/>
        <v>22</v>
      </c>
      <c r="L78" s="95"/>
      <c r="M78" s="69">
        <f t="shared" ca="1" si="4"/>
        <v>22</v>
      </c>
      <c r="N78" s="48">
        <v>72</v>
      </c>
      <c r="O78" s="48" t="s">
        <v>83</v>
      </c>
      <c r="P78" s="48"/>
    </row>
    <row r="79" spans="1:16" ht="12.75" x14ac:dyDescent="0.2">
      <c r="A79" s="48">
        <v>73</v>
      </c>
      <c r="B79" s="70" t="str">
        <f ca="1">IFERROR(__xludf.DUMMYFUNCTION("""COMPUTED_VALUE"""),"Шаламов Иван Андреевич")</f>
        <v>Шаламов Иван Андреевич</v>
      </c>
      <c r="C79" s="70"/>
      <c r="D79" s="7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79" s="48">
        <f ca="1">IFERROR(__xludf.DUMMYFUNCTION("""COMPUTED_VALUE"""),8)</f>
        <v>8</v>
      </c>
      <c r="F79" s="70" t="str">
        <f ca="1">IFERROR(__xludf.DUMMYFUNCTION("""COMPUTED_VALUE"""),"Новинкина Светлана Габдулловна")</f>
        <v>Новинкина Светлана Габдулловна</v>
      </c>
      <c r="G79" s="48">
        <f ca="1">IFERROR(__xludf.DUMMYFUNCTION("""COMPUTED_VALUE"""),5)</f>
        <v>5</v>
      </c>
      <c r="H79" s="48">
        <f ca="1">IFERROR(__xludf.DUMMYFUNCTION("""COMPUTED_VALUE"""),15)</f>
        <v>15</v>
      </c>
      <c r="I79" s="48">
        <f ca="1">IFERROR(__xludf.DUMMYFUNCTION("""COMPUTED_VALUE"""),2)</f>
        <v>2</v>
      </c>
      <c r="J79" s="48"/>
      <c r="K79" s="94">
        <f t="shared" ca="1" si="3"/>
        <v>22</v>
      </c>
      <c r="L79" s="95"/>
      <c r="M79" s="69">
        <f t="shared" ca="1" si="4"/>
        <v>22</v>
      </c>
      <c r="N79" s="47">
        <v>73</v>
      </c>
      <c r="O79" s="48" t="s">
        <v>83</v>
      </c>
      <c r="P79" s="48"/>
    </row>
    <row r="80" spans="1:16" ht="12.75" x14ac:dyDescent="0.2">
      <c r="A80" s="48">
        <v>74</v>
      </c>
      <c r="B80" s="66" t="str">
        <f ca="1">IFERROR(__xludf.DUMMYFUNCTION("""COMPUTED_VALUE"""),"Баяшев Равиль Дамирович")</f>
        <v>Баяшев Равиль Дамирович</v>
      </c>
      <c r="C80" s="66"/>
      <c r="D80" s="66" t="str">
        <f ca="1">IFERROR(__xludf.DUMMYFUNCTION("""COMPUTED_VALUE"""),"МОУ ""СОШ п. им. К. Маркса""")</f>
        <v>МОУ "СОШ п. им. К. Маркса"</v>
      </c>
      <c r="E80" s="47">
        <f ca="1">IFERROR(__xludf.DUMMYFUNCTION("""COMPUTED_VALUE"""),8)</f>
        <v>8</v>
      </c>
      <c r="F80" s="66" t="str">
        <f ca="1">IFERROR(__xludf.DUMMYFUNCTION("""COMPUTED_VALUE"""),"Постнова Ольга Вениаминовна")</f>
        <v>Постнова Ольга Вениаминовна</v>
      </c>
      <c r="G80" s="47">
        <f ca="1">IFERROR(__xludf.DUMMYFUNCTION("""COMPUTED_VALUE"""),4)</f>
        <v>4</v>
      </c>
      <c r="H80" s="47">
        <f ca="1">IFERROR(__xludf.DUMMYFUNCTION("""COMPUTED_VALUE"""),15)</f>
        <v>15</v>
      </c>
      <c r="I80" s="47">
        <f ca="1">IFERROR(__xludf.DUMMYFUNCTION("""COMPUTED_VALUE"""),3)</f>
        <v>3</v>
      </c>
      <c r="J80" s="47"/>
      <c r="K80" s="94">
        <f t="shared" ca="1" si="3"/>
        <v>22</v>
      </c>
      <c r="L80" s="95"/>
      <c r="M80" s="69">
        <f t="shared" ca="1" si="4"/>
        <v>22</v>
      </c>
      <c r="N80" s="48">
        <v>74</v>
      </c>
      <c r="O80" s="48" t="s">
        <v>83</v>
      </c>
      <c r="P80" s="48"/>
    </row>
    <row r="81" spans="1:16" ht="12.75" x14ac:dyDescent="0.2">
      <c r="A81" s="47">
        <v>75</v>
      </c>
      <c r="B81" s="71" t="str">
        <f ca="1">IFERROR(__xludf.DUMMYFUNCTION("IMPORTRANGE(""https://docs.google.com/spreadsheets/d/16CWr8ky6L0i1S4UOLMYHizeHS6aZnIDEnQPyRJyTpcI/edit#gid=0"", ""ООШ с. Степное!B18:O22"")"),"Евтеева Юлия Алексеевна")</f>
        <v>Евтеева Юлия Алексеевна</v>
      </c>
      <c r="C81" s="66"/>
      <c r="D81" s="66" t="str">
        <f ca="1">IFERROR(__xludf.DUMMYFUNCTION("""COMPUTED_VALUE"""),"МАОУ ""ООШ с. Степное""")</f>
        <v>МАОУ "ООШ с. Степное"</v>
      </c>
      <c r="E81" s="47">
        <f ca="1">IFERROR(__xludf.DUMMYFUNCTION("""COMPUTED_VALUE"""),8)</f>
        <v>8</v>
      </c>
      <c r="F81" s="66" t="str">
        <f ca="1">IFERROR(__xludf.DUMMYFUNCTION("""COMPUTED_VALUE"""),"Макарова Зухра Амирджановна")</f>
        <v>Макарова Зухра Амирджановна</v>
      </c>
      <c r="G81" s="47">
        <f ca="1">IFERROR(__xludf.DUMMYFUNCTION("""COMPUTED_VALUE"""),5)</f>
        <v>5</v>
      </c>
      <c r="H81" s="47">
        <f ca="1">IFERROR(__xludf.DUMMYFUNCTION("""COMPUTED_VALUE"""),14)</f>
        <v>14</v>
      </c>
      <c r="I81" s="47">
        <f ca="1">IFERROR(__xludf.DUMMYFUNCTION("""COMPUTED_VALUE"""),3)</f>
        <v>3</v>
      </c>
      <c r="J81" s="47"/>
      <c r="K81" s="94">
        <f t="shared" ca="1" si="3"/>
        <v>22</v>
      </c>
      <c r="L81" s="95"/>
      <c r="M81" s="69">
        <f t="shared" ca="1" si="4"/>
        <v>22</v>
      </c>
      <c r="N81" s="48">
        <v>75</v>
      </c>
      <c r="O81" s="48" t="s">
        <v>83</v>
      </c>
      <c r="P81" s="48"/>
    </row>
    <row r="82" spans="1:16" ht="12.75" x14ac:dyDescent="0.2">
      <c r="A82" s="48">
        <v>76</v>
      </c>
      <c r="B82" s="66" t="str">
        <f ca="1">IFERROR(__xludf.DUMMYFUNCTION("""COMPUTED_VALUE"""),"Корниенко Степан Викторович")</f>
        <v>Корниенко Степан Викторович</v>
      </c>
      <c r="C82" s="66"/>
      <c r="D82" s="66" t="str">
        <f ca="1">IFERROR(__xludf.DUMMYFUNCTION("""COMPUTED_VALUE"""),"МАОУ ""ООШ с. Степное""")</f>
        <v>МАОУ "ООШ с. Степное"</v>
      </c>
      <c r="E82" s="47">
        <f ca="1">IFERROR(__xludf.DUMMYFUNCTION("""COMPUTED_VALUE"""),8)</f>
        <v>8</v>
      </c>
      <c r="F82" s="66" t="str">
        <f ca="1">IFERROR(__xludf.DUMMYFUNCTION("""COMPUTED_VALUE"""),"Макарова Зухра Амирджановна")</f>
        <v>Макарова Зухра Амирджановна</v>
      </c>
      <c r="G82" s="47">
        <f ca="1">IFERROR(__xludf.DUMMYFUNCTION("""COMPUTED_VALUE"""),4)</f>
        <v>4</v>
      </c>
      <c r="H82" s="47">
        <f ca="1">IFERROR(__xludf.DUMMYFUNCTION("""COMPUTED_VALUE"""),16)</f>
        <v>16</v>
      </c>
      <c r="I82" s="47">
        <f ca="1">IFERROR(__xludf.DUMMYFUNCTION("""COMPUTED_VALUE"""),2)</f>
        <v>2</v>
      </c>
      <c r="J82" s="47"/>
      <c r="K82" s="94">
        <f t="shared" ca="1" si="3"/>
        <v>22</v>
      </c>
      <c r="L82" s="95"/>
      <c r="M82" s="69">
        <f t="shared" ca="1" si="4"/>
        <v>22</v>
      </c>
      <c r="N82" s="47">
        <v>76</v>
      </c>
      <c r="O82" s="48" t="s">
        <v>83</v>
      </c>
      <c r="P82" s="48"/>
    </row>
    <row r="83" spans="1:16" ht="12.75" x14ac:dyDescent="0.2">
      <c r="A83" s="48">
        <v>77</v>
      </c>
      <c r="B83" s="66" t="str">
        <f ca="1">IFERROR(__xludf.DUMMYFUNCTION("""COMPUTED_VALUE"""),"Кирпичев Юрий Сергеевич")</f>
        <v>Кирпичев Юрий Сергеевич</v>
      </c>
      <c r="C83" s="66"/>
      <c r="D83" s="66" t="str">
        <f ca="1">IFERROR(__xludf.DUMMYFUNCTION("""COMPUTED_VALUE"""),"МОУ ""СОШ ""Патриот"" с кадетскими классами""")</f>
        <v>МОУ "СОШ "Патриот" с кадетскими классами"</v>
      </c>
      <c r="E83" s="47">
        <f ca="1">IFERROR(__xludf.DUMMYFUNCTION("""COMPUTED_VALUE"""),8)</f>
        <v>8</v>
      </c>
      <c r="F83" s="66" t="str">
        <f ca="1">IFERROR(__xludf.DUMMYFUNCTION("""COMPUTED_VALUE"""),"Языкова Светлана Александровна")</f>
        <v>Языкова Светлана Александровна</v>
      </c>
      <c r="G83" s="47">
        <f ca="1">IFERROR(__xludf.DUMMYFUNCTION("""COMPUTED_VALUE"""),2)</f>
        <v>2</v>
      </c>
      <c r="H83" s="47">
        <f ca="1">IFERROR(__xludf.DUMMYFUNCTION("""COMPUTED_VALUE"""),17)</f>
        <v>17</v>
      </c>
      <c r="I83" s="47">
        <f ca="1">IFERROR(__xludf.DUMMYFUNCTION("""COMPUTED_VALUE"""),3)</f>
        <v>3</v>
      </c>
      <c r="J83" s="47"/>
      <c r="K83" s="94">
        <f t="shared" ca="1" si="3"/>
        <v>22</v>
      </c>
      <c r="L83" s="95"/>
      <c r="M83" s="69">
        <f t="shared" ca="1" si="4"/>
        <v>22</v>
      </c>
      <c r="N83" s="48">
        <v>77</v>
      </c>
      <c r="O83" s="48" t="s">
        <v>83</v>
      </c>
      <c r="P83" s="48"/>
    </row>
    <row r="84" spans="1:16" ht="12.75" x14ac:dyDescent="0.2">
      <c r="A84" s="47">
        <v>78</v>
      </c>
      <c r="B84" s="70" t="str">
        <f ca="1">IFERROR(__xludf.DUMMYFUNCTION("""COMPUTED_VALUE"""),"Сатаев Ильдар Харисович")</f>
        <v>Сатаев Ильдар Харисович</v>
      </c>
      <c r="C84" s="70"/>
      <c r="D84" s="70" t="str">
        <f ca="1">IFERROR(__xludf.DUMMYFUNCTION("""COMPUTED_VALUE"""),"МОУ ""ООШ№10""")</f>
        <v>МОУ "ООШ№10"</v>
      </c>
      <c r="E84" s="48">
        <f ca="1">IFERROR(__xludf.DUMMYFUNCTION("""COMPUTED_VALUE"""),8)</f>
        <v>8</v>
      </c>
      <c r="F84" s="70" t="str">
        <f ca="1">IFERROR(__xludf.DUMMYFUNCTION("""COMPUTED_VALUE"""),"Бузюрова Оксана Васильевна")</f>
        <v>Бузюрова Оксана Васильевна</v>
      </c>
      <c r="G84" s="48">
        <f ca="1">IFERROR(__xludf.DUMMYFUNCTION("""COMPUTED_VALUE"""),4)</f>
        <v>4</v>
      </c>
      <c r="H84" s="48">
        <f ca="1">IFERROR(__xludf.DUMMYFUNCTION("""COMPUTED_VALUE"""),17)</f>
        <v>17</v>
      </c>
      <c r="I84" s="48">
        <f ca="1">IFERROR(__xludf.DUMMYFUNCTION("""COMPUTED_VALUE"""),0)</f>
        <v>0</v>
      </c>
      <c r="J84" s="48"/>
      <c r="K84" s="94">
        <f t="shared" ca="1" si="3"/>
        <v>21</v>
      </c>
      <c r="L84" s="95"/>
      <c r="M84" s="69">
        <f t="shared" ca="1" si="4"/>
        <v>21</v>
      </c>
      <c r="N84" s="48">
        <v>78</v>
      </c>
      <c r="O84" s="48" t="s">
        <v>83</v>
      </c>
      <c r="P84" s="48"/>
    </row>
    <row r="85" spans="1:16" ht="12.75" x14ac:dyDescent="0.2">
      <c r="A85" s="48">
        <v>79</v>
      </c>
      <c r="B85" s="70" t="str">
        <f ca="1">IFERROR(__xludf.DUMMYFUNCTION("""COMPUTED_VALUE"""),"Орлов Илья Витальевич")</f>
        <v>Орлов Илья Витальевич</v>
      </c>
      <c r="C85" s="70"/>
      <c r="D85" s="70" t="str">
        <f ca="1">IFERROR(__xludf.DUMMYFUNCTION("""COMPUTED_VALUE"""),"МОУ ""СОШ им. Ю.А. Гагарина """)</f>
        <v>МОУ "СОШ им. Ю.А. Гагарина "</v>
      </c>
      <c r="E85" s="48">
        <f ca="1">IFERROR(__xludf.DUMMYFUNCTION("""COMPUTED_VALUE"""),8)</f>
        <v>8</v>
      </c>
      <c r="F85" s="70" t="str">
        <f ca="1">IFERROR(__xludf.DUMMYFUNCTION("""COMPUTED_VALUE"""),"Мищенко Ирина Николаевна")</f>
        <v>Мищенко Ирина Николаевна</v>
      </c>
      <c r="G85" s="48">
        <f ca="1">IFERROR(__xludf.DUMMYFUNCTION("""COMPUTED_VALUE"""),6)</f>
        <v>6</v>
      </c>
      <c r="H85" s="48">
        <f ca="1">IFERROR(__xludf.DUMMYFUNCTION("""COMPUTED_VALUE"""),14)</f>
        <v>14</v>
      </c>
      <c r="I85" s="48">
        <f ca="1">IFERROR(__xludf.DUMMYFUNCTION("""COMPUTED_VALUE"""),1)</f>
        <v>1</v>
      </c>
      <c r="J85" s="48"/>
      <c r="K85" s="94">
        <f t="shared" ca="1" si="3"/>
        <v>21</v>
      </c>
      <c r="L85" s="95"/>
      <c r="M85" s="69">
        <f t="shared" ca="1" si="4"/>
        <v>21</v>
      </c>
      <c r="N85" s="47">
        <v>79</v>
      </c>
      <c r="O85" s="48" t="s">
        <v>83</v>
      </c>
      <c r="P85" s="48"/>
    </row>
    <row r="86" spans="1:16" ht="12.75" x14ac:dyDescent="0.2">
      <c r="A86" s="48">
        <v>80</v>
      </c>
      <c r="B86" s="70" t="str">
        <f ca="1">IFERROR(__xludf.DUMMYFUNCTION("""COMPUTED_VALUE"""),"Еловенко Вероника Викторовна")</f>
        <v>Еловенко Вероника Викторовна</v>
      </c>
      <c r="C86" s="70"/>
      <c r="D86" s="70" t="str">
        <f ca="1">IFERROR(__xludf.DUMMYFUNCTION("""COMPUTED_VALUE"""),"МОУ ""СОШ №24""")</f>
        <v>МОУ "СОШ №24"</v>
      </c>
      <c r="E86" s="48">
        <f ca="1">IFERROR(__xludf.DUMMYFUNCTION("""COMPUTED_VALUE"""),8)</f>
        <v>8</v>
      </c>
      <c r="F86" s="70" t="str">
        <f ca="1">IFERROR(__xludf.DUMMYFUNCTION("""COMPUTED_VALUE"""),"Моисеева Татьяна Владимировна")</f>
        <v>Моисеева Татьяна Владимировна</v>
      </c>
      <c r="G86" s="48">
        <f ca="1">IFERROR(__xludf.DUMMYFUNCTION("""COMPUTED_VALUE"""),5)</f>
        <v>5</v>
      </c>
      <c r="H86" s="48">
        <f ca="1">IFERROR(__xludf.DUMMYFUNCTION("""COMPUTED_VALUE"""),13)</f>
        <v>13</v>
      </c>
      <c r="I86" s="48">
        <f ca="1">IFERROR(__xludf.DUMMYFUNCTION("""COMPUTED_VALUE"""),3)</f>
        <v>3</v>
      </c>
      <c r="J86" s="48"/>
      <c r="K86" s="94">
        <f t="shared" ca="1" si="3"/>
        <v>21</v>
      </c>
      <c r="L86" s="95"/>
      <c r="M86" s="69">
        <f t="shared" ca="1" si="4"/>
        <v>21</v>
      </c>
      <c r="N86" s="48">
        <v>80</v>
      </c>
      <c r="O86" s="48" t="s">
        <v>83</v>
      </c>
      <c r="P86" s="48"/>
    </row>
    <row r="87" spans="1:16" ht="12.75" x14ac:dyDescent="0.2">
      <c r="A87" s="48">
        <v>81</v>
      </c>
      <c r="B87" s="71" t="str">
        <f ca="1">IFERROR(__xludf.DUMMYFUNCTION("IMPORTRANGE(""https://docs.google.com/spreadsheets/d/16CWr8ky6L0i1S4UOLMYHizeHS6aZnIDEnQPyRJyTpcI/edit#gid=0"", ""Патриот!B18:O22"")"),"Демьянец Зоя Эдуардовна")</f>
        <v>Демьянец Зоя Эдуардовна</v>
      </c>
      <c r="C87" s="70"/>
      <c r="D87" s="7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87" s="48">
        <f ca="1">IFERROR(__xludf.DUMMYFUNCTION("""COMPUTED_VALUE"""),8)</f>
        <v>8</v>
      </c>
      <c r="F87" s="70" t="str">
        <f ca="1">IFERROR(__xludf.DUMMYFUNCTION("""COMPUTED_VALUE"""),"Новинкина Светлана Габдулловна")</f>
        <v>Новинкина Светлана Габдулловна</v>
      </c>
      <c r="G87" s="48">
        <f ca="1">IFERROR(__xludf.DUMMYFUNCTION("""COMPUTED_VALUE"""),4)</f>
        <v>4</v>
      </c>
      <c r="H87" s="48">
        <f ca="1">IFERROR(__xludf.DUMMYFUNCTION("""COMPUTED_VALUE"""),16)</f>
        <v>16</v>
      </c>
      <c r="I87" s="48">
        <f ca="1">IFERROR(__xludf.DUMMYFUNCTION("""COMPUTED_VALUE"""),1)</f>
        <v>1</v>
      </c>
      <c r="J87" s="48"/>
      <c r="K87" s="94">
        <f t="shared" ca="1" si="3"/>
        <v>21</v>
      </c>
      <c r="L87" s="95"/>
      <c r="M87" s="69">
        <f t="shared" ca="1" si="4"/>
        <v>21</v>
      </c>
      <c r="N87" s="48">
        <v>81</v>
      </c>
      <c r="O87" s="48" t="s">
        <v>83</v>
      </c>
      <c r="P87" s="48"/>
    </row>
    <row r="88" spans="1:16" ht="12.75" x14ac:dyDescent="0.2">
      <c r="A88" s="47">
        <v>82</v>
      </c>
      <c r="B88" s="71" t="str">
        <f ca="1">IFERROR(__xludf.DUMMYFUNCTION("IMPORTRANGE(""https://docs.google.com/spreadsheets/d/16CWr8ky6L0i1S4UOLMYHizeHS6aZnIDEnQPyRJyTpcI/edit#gid=0"", ""МЭЛ!B18:O22"")"),"Богомолова Яна Владимировна")</f>
        <v>Богомолова Яна Владимировна</v>
      </c>
      <c r="C88" s="70"/>
      <c r="D88" s="70" t="str">
        <f ca="1">IFERROR(__xludf.DUMMYFUNCTION("""COMPUTED_VALUE"""),"МОУ ""МЭЛ им. Шнитке А.Г.""")</f>
        <v>МОУ "МЭЛ им. Шнитке А.Г."</v>
      </c>
      <c r="E88" s="48">
        <f ca="1">IFERROR(__xludf.DUMMYFUNCTION("""COMPUTED_VALUE"""),8)</f>
        <v>8</v>
      </c>
      <c r="F88" s="70" t="str">
        <f ca="1">IFERROR(__xludf.DUMMYFUNCTION("""COMPUTED_VALUE"""),"Мотавкина Светлана Сергеевна")</f>
        <v>Мотавкина Светлана Сергеевна</v>
      </c>
      <c r="G88" s="48">
        <f ca="1">IFERROR(__xludf.DUMMYFUNCTION("""COMPUTED_VALUE"""),5)</f>
        <v>5</v>
      </c>
      <c r="H88" s="48">
        <f ca="1">IFERROR(__xludf.DUMMYFUNCTION("""COMPUTED_VALUE"""),12)</f>
        <v>12</v>
      </c>
      <c r="I88" s="48">
        <f ca="1">IFERROR(__xludf.DUMMYFUNCTION("""COMPUTED_VALUE"""),4)</f>
        <v>4</v>
      </c>
      <c r="J88" s="48"/>
      <c r="K88" s="94">
        <f t="shared" ca="1" si="3"/>
        <v>21</v>
      </c>
      <c r="L88" s="95"/>
      <c r="M88" s="69">
        <f t="shared" ca="1" si="4"/>
        <v>21</v>
      </c>
      <c r="N88" s="47">
        <v>82</v>
      </c>
      <c r="O88" s="48" t="s">
        <v>83</v>
      </c>
      <c r="P88" s="48"/>
    </row>
    <row r="89" spans="1:16" ht="12.75" x14ac:dyDescent="0.2">
      <c r="A89" s="48">
        <v>83</v>
      </c>
      <c r="B89" s="66" t="str">
        <f ca="1">IFERROR(__xludf.DUMMYFUNCTION("""COMPUTED_VALUE"""),"Семенов Никита Николаевич")</f>
        <v>Семенов Никита Николаевич</v>
      </c>
      <c r="C89" s="66"/>
      <c r="D89" s="66" t="str">
        <f ca="1">IFERROR(__xludf.DUMMYFUNCTION("""COMPUTED_VALUE"""),"МОУ ""ООШ с. Ленинское""")</f>
        <v>МОУ "ООШ с. Ленинское"</v>
      </c>
      <c r="E89" s="47">
        <f ca="1">IFERROR(__xludf.DUMMYFUNCTION("""COMPUTED_VALUE"""),8)</f>
        <v>8</v>
      </c>
      <c r="F89" s="66" t="str">
        <f ca="1">IFERROR(__xludf.DUMMYFUNCTION("""COMPUTED_VALUE"""),"Савиных Людмила Васильевна")</f>
        <v>Савиных Людмила Васильевна</v>
      </c>
      <c r="G89" s="47">
        <f ca="1">IFERROR(__xludf.DUMMYFUNCTION("""COMPUTED_VALUE"""),8)</f>
        <v>8</v>
      </c>
      <c r="H89" s="47">
        <v>12</v>
      </c>
      <c r="I89" s="47">
        <v>1</v>
      </c>
      <c r="J89" s="47"/>
      <c r="K89" s="94">
        <f t="shared" ca="1" si="3"/>
        <v>21</v>
      </c>
      <c r="L89" s="70"/>
      <c r="M89" s="69">
        <f t="shared" ca="1" si="4"/>
        <v>21</v>
      </c>
      <c r="N89" s="48">
        <v>83</v>
      </c>
      <c r="O89" s="48" t="s">
        <v>83</v>
      </c>
      <c r="P89" s="48"/>
    </row>
    <row r="90" spans="1:16" ht="12.75" x14ac:dyDescent="0.2">
      <c r="A90" s="48">
        <v>84</v>
      </c>
      <c r="B90" s="66" t="str">
        <f ca="1">IFERROR(__xludf.DUMMYFUNCTION("""COMPUTED_VALUE"""),"Карасёва Арина Романовна")</f>
        <v>Карасёва Арина Романовна</v>
      </c>
      <c r="C90" s="66"/>
      <c r="D90" s="66" t="str">
        <f ca="1">IFERROR(__xludf.DUMMYFUNCTION("""COMPUTED_VALUE"""),"МОУ ""СОШ с. Шумейка""")</f>
        <v>МОУ "СОШ с. Шумейка"</v>
      </c>
      <c r="E90" s="47">
        <f ca="1">IFERROR(__xludf.DUMMYFUNCTION("""COMPUTED_VALUE"""),8)</f>
        <v>8</v>
      </c>
      <c r="F90" s="66" t="str">
        <f ca="1">IFERROR(__xludf.DUMMYFUNCTION("""COMPUTED_VALUE"""),"Полякова Наталия Викторовна")</f>
        <v>Полякова Наталия Викторовна</v>
      </c>
      <c r="G90" s="47">
        <f ca="1">IFERROR(__xludf.DUMMYFUNCTION("""COMPUTED_VALUE"""),7)</f>
        <v>7</v>
      </c>
      <c r="H90" s="47">
        <v>13</v>
      </c>
      <c r="I90" s="47">
        <v>1</v>
      </c>
      <c r="J90" s="47"/>
      <c r="K90" s="94">
        <f t="shared" ca="1" si="3"/>
        <v>21</v>
      </c>
      <c r="L90" s="70"/>
      <c r="M90" s="69">
        <f ca="1">K90</f>
        <v>21</v>
      </c>
      <c r="N90" s="48">
        <v>84</v>
      </c>
      <c r="O90" s="48" t="s">
        <v>83</v>
      </c>
      <c r="P90" s="48"/>
    </row>
    <row r="91" spans="1:16" ht="12.75" x14ac:dyDescent="0.2">
      <c r="A91" s="47">
        <v>85</v>
      </c>
      <c r="B91" s="71" t="str">
        <f ca="1">IFERROR(__xludf.DUMMYFUNCTION("IMPORTRANGE(""https://docs.google.com/spreadsheets/d/16CWr8ky6L0i1S4UOLMYHizeHS6aZnIDEnQPyRJyTpcI/edit#gid=0"", ""СОШ с. Шумейка!B23:O23"")"),"Сергеева Марина Андреевна ")</f>
        <v xml:space="preserve">Сергеева Марина Андреевна </v>
      </c>
      <c r="C91" s="66"/>
      <c r="D91" s="66" t="str">
        <f ca="1">IFERROR(__xludf.DUMMYFUNCTION("""COMPUTED_VALUE"""),"МОУ ""СОШ с. Шумейка""")</f>
        <v>МОУ "СОШ с. Шумейка"</v>
      </c>
      <c r="E91" s="47">
        <f ca="1">IFERROR(__xludf.DUMMYFUNCTION("""COMPUTED_VALUE"""),8)</f>
        <v>8</v>
      </c>
      <c r="F91" s="66" t="str">
        <f ca="1">IFERROR(__xludf.DUMMYFUNCTION("""COMPUTED_VALUE"""),"Полякова Наталия Викторовна")</f>
        <v>Полякова Наталия Викторовна</v>
      </c>
      <c r="G91" s="47">
        <f ca="1">IFERROR(__xludf.DUMMYFUNCTION("""COMPUTED_VALUE"""),4)</f>
        <v>4</v>
      </c>
      <c r="H91" s="47">
        <v>16</v>
      </c>
      <c r="I91" s="47">
        <v>1</v>
      </c>
      <c r="J91" s="47"/>
      <c r="K91" s="94">
        <f t="shared" ca="1" si="3"/>
        <v>21</v>
      </c>
      <c r="L91" s="70"/>
      <c r="M91" s="69">
        <f t="shared" ref="M91:M100" ca="1" si="5">K91</f>
        <v>21</v>
      </c>
      <c r="N91" s="47">
        <v>85</v>
      </c>
      <c r="O91" s="48" t="s">
        <v>83</v>
      </c>
      <c r="P91" s="48"/>
    </row>
    <row r="92" spans="1:16" ht="12.75" x14ac:dyDescent="0.2">
      <c r="A92" s="48">
        <v>86</v>
      </c>
      <c r="B92" s="66" t="str">
        <f ca="1">IFERROR(__xludf.DUMMYFUNCTION("""COMPUTED_VALUE"""),"Глотова Ангелина Евгеньевна")</f>
        <v>Глотова Ангелина Евгеньевна</v>
      </c>
      <c r="C92" s="66"/>
      <c r="D92" s="66" t="str">
        <f ca="1">IFERROR(__xludf.DUMMYFUNCTION("""COMPUTED_VALUE"""),"МОУ ""СОШ п. Придорожный""")</f>
        <v>МОУ "СОШ п. Придорожный"</v>
      </c>
      <c r="E92" s="47">
        <f ca="1">IFERROR(__xludf.DUMMYFUNCTION("""COMPUTED_VALUE"""),8)</f>
        <v>8</v>
      </c>
      <c r="F92" s="66" t="str">
        <f ca="1">IFERROR(__xludf.DUMMYFUNCTION("""COMPUTED_VALUE"""),"Демешко Екатерина Валерьевна")</f>
        <v>Демешко Екатерина Валерьевна</v>
      </c>
      <c r="G92" s="47">
        <f ca="1">IFERROR(__xludf.DUMMYFUNCTION("""COMPUTED_VALUE"""),7)</f>
        <v>7</v>
      </c>
      <c r="H92" s="47">
        <v>13</v>
      </c>
      <c r="I92" s="47">
        <v>0</v>
      </c>
      <c r="J92" s="47"/>
      <c r="K92" s="94">
        <f t="shared" ca="1" si="3"/>
        <v>20</v>
      </c>
      <c r="L92" s="70"/>
      <c r="M92" s="69">
        <f t="shared" ca="1" si="5"/>
        <v>20</v>
      </c>
      <c r="N92" s="48">
        <v>86</v>
      </c>
      <c r="O92" s="48" t="s">
        <v>83</v>
      </c>
      <c r="P92" s="48"/>
    </row>
    <row r="93" spans="1:16" ht="12.75" x14ac:dyDescent="0.2">
      <c r="A93" s="48">
        <v>87</v>
      </c>
      <c r="B93" s="66" t="str">
        <f ca="1">IFERROR(__xludf.DUMMYFUNCTION("""COMPUTED_VALUE"""),"Сердечкин Данила Романович")</f>
        <v>Сердечкин Данила Романович</v>
      </c>
      <c r="C93" s="66"/>
      <c r="D93" s="66" t="str">
        <f ca="1">IFERROR(__xludf.DUMMYFUNCTION("""COMPUTED_VALUE"""),"МОУ ""СОШ им. Ю.А. Гагарина """)</f>
        <v>МОУ "СОШ им. Ю.А. Гагарина "</v>
      </c>
      <c r="E93" s="47">
        <f ca="1">IFERROR(__xludf.DUMMYFUNCTION("""COMPUTED_VALUE"""),8)</f>
        <v>8</v>
      </c>
      <c r="F93" s="66" t="str">
        <f ca="1">IFERROR(__xludf.DUMMYFUNCTION("""COMPUTED_VALUE"""),"Мищенко Ирина Николаевна")</f>
        <v>Мищенко Ирина Николаевна</v>
      </c>
      <c r="G93" s="47">
        <f ca="1">IFERROR(__xludf.DUMMYFUNCTION("""COMPUTED_VALUE"""),6)</f>
        <v>6</v>
      </c>
      <c r="H93" s="47">
        <f ca="1">IFERROR(__xludf.DUMMYFUNCTION("""COMPUTED_VALUE"""),14)</f>
        <v>14</v>
      </c>
      <c r="I93" s="47">
        <f ca="1">IFERROR(__xludf.DUMMYFUNCTION("""COMPUTED_VALUE"""),0)</f>
        <v>0</v>
      </c>
      <c r="J93" s="47"/>
      <c r="K93" s="94">
        <f t="shared" ca="1" si="3"/>
        <v>20</v>
      </c>
      <c r="L93" s="95"/>
      <c r="M93" s="69">
        <f t="shared" ca="1" si="5"/>
        <v>20</v>
      </c>
      <c r="N93" s="48">
        <v>87</v>
      </c>
      <c r="O93" s="48" t="s">
        <v>83</v>
      </c>
      <c r="P93" s="48"/>
    </row>
    <row r="94" spans="1:16" ht="12.75" x14ac:dyDescent="0.2">
      <c r="A94" s="48">
        <v>88</v>
      </c>
      <c r="B94" s="70" t="str">
        <f ca="1">IFERROR(__xludf.DUMMYFUNCTION("IMPORTRANGE(""https://docs.google.com/spreadsheets/d/16CWr8ky6L0i1S4UOLMYHizeHS6aZnIDEnQPyRJyTpcI/edit#gid=0"", ""СОШ №1!B18:O22"")"),"Киселев Глеб Максимович")</f>
        <v>Киселев Глеб Максимович</v>
      </c>
      <c r="C94" s="70"/>
      <c r="D94" s="70" t="str">
        <f ca="1">IFERROR(__xludf.DUMMYFUNCTION("""COMPUTED_VALUE"""),"МОУ ""СОШ №1""")</f>
        <v>МОУ "СОШ №1"</v>
      </c>
      <c r="E94" s="48">
        <f ca="1">IFERROR(__xludf.DUMMYFUNCTION("""COMPUTED_VALUE"""),8)</f>
        <v>8</v>
      </c>
      <c r="F94" s="70" t="str">
        <f ca="1">IFERROR(__xludf.DUMMYFUNCTION("""COMPUTED_VALUE"""),"Борцова Оксана Юрьевна")</f>
        <v>Борцова Оксана Юрьевна</v>
      </c>
      <c r="G94" s="48">
        <f ca="1">IFERROR(__xludf.DUMMYFUNCTION("""COMPUTED_VALUE"""),6)</f>
        <v>6</v>
      </c>
      <c r="H94" s="48">
        <v>13</v>
      </c>
      <c r="I94" s="48">
        <v>0</v>
      </c>
      <c r="J94" s="48"/>
      <c r="K94" s="94">
        <f t="shared" ca="1" si="3"/>
        <v>19</v>
      </c>
      <c r="L94" s="70"/>
      <c r="M94" s="69">
        <f t="shared" ca="1" si="5"/>
        <v>19</v>
      </c>
      <c r="N94" s="47">
        <v>88</v>
      </c>
      <c r="O94" s="48" t="s">
        <v>83</v>
      </c>
      <c r="P94" s="48"/>
    </row>
    <row r="95" spans="1:16" ht="12.75" x14ac:dyDescent="0.2">
      <c r="A95" s="47">
        <v>89</v>
      </c>
      <c r="B95" s="70" t="str">
        <f ca="1">IFERROR(__xludf.DUMMYFUNCTION("""COMPUTED_VALUE"""),"Стрижко Полина Александровна")</f>
        <v>Стрижко Полина Александровна</v>
      </c>
      <c r="C95" s="70"/>
      <c r="D95" s="70" t="str">
        <f ca="1">IFERROR(__xludf.DUMMYFUNCTION("""COMPUTED_VALUE"""),"МОУ ""СОШ №4""")</f>
        <v>МОУ "СОШ №4"</v>
      </c>
      <c r="E95" s="48">
        <f ca="1">IFERROR(__xludf.DUMMYFUNCTION("""COMPUTED_VALUE"""),8)</f>
        <v>8</v>
      </c>
      <c r="F95" s="70" t="str">
        <f ca="1">IFERROR(__xludf.DUMMYFUNCTION("""COMPUTED_VALUE"""),"Шевченко Татьяна Петровна")</f>
        <v>Шевченко Татьяна Петровна</v>
      </c>
      <c r="G95" s="48">
        <f ca="1">IFERROR(__xludf.DUMMYFUNCTION("""COMPUTED_VALUE"""),5)</f>
        <v>5</v>
      </c>
      <c r="H95" s="48">
        <f ca="1">IFERROR(__xludf.DUMMYFUNCTION("""COMPUTED_VALUE"""),11)</f>
        <v>11</v>
      </c>
      <c r="I95" s="48">
        <f ca="1">IFERROR(__xludf.DUMMYFUNCTION("""COMPUTED_VALUE"""),2)</f>
        <v>2</v>
      </c>
      <c r="J95" s="48"/>
      <c r="K95" s="94">
        <f t="shared" ca="1" si="3"/>
        <v>18</v>
      </c>
      <c r="L95" s="95"/>
      <c r="M95" s="69">
        <f t="shared" ca="1" si="5"/>
        <v>18</v>
      </c>
      <c r="N95" s="48">
        <v>89</v>
      </c>
      <c r="O95" s="48" t="s">
        <v>83</v>
      </c>
      <c r="P95" s="48"/>
    </row>
    <row r="96" spans="1:16" ht="12.75" x14ac:dyDescent="0.2">
      <c r="A96" s="48">
        <v>90</v>
      </c>
      <c r="B96" s="71" t="str">
        <f ca="1">IFERROR(__xludf.DUMMYFUNCTION("IMPORTRANGE(""https://docs.google.com/spreadsheets/d/16CWr8ky6L0i1S4UOLMYHizeHS6aZnIDEnQPyRJyTpcI/edit#gid=0"", ""Патриот!B82:O86"")"),"Лавданский  Валентин Сергеевич")</f>
        <v>Лавданский  Валентин Сергеевич</v>
      </c>
      <c r="C96" s="66"/>
      <c r="D96" s="66" t="str">
        <f ca="1">IFERROR(__xludf.DUMMYFUNCTION("""COMPUTED_VALUE"""),"МОУ ""СОШ ""Патриот"" с кадетскими классами""")</f>
        <v>МОУ "СОШ "Патриот" с кадетскими классами"</v>
      </c>
      <c r="E96" s="47">
        <f ca="1">IFERROR(__xludf.DUMMYFUNCTION("""COMPUTED_VALUE"""),8)</f>
        <v>8</v>
      </c>
      <c r="F96" s="66" t="str">
        <f ca="1">IFERROR(__xludf.DUMMYFUNCTION("""COMPUTED_VALUE"""),"Языкова Светлана Александровна")</f>
        <v>Языкова Светлана Александровна</v>
      </c>
      <c r="G96" s="47">
        <f ca="1">IFERROR(__xludf.DUMMYFUNCTION("""COMPUTED_VALUE"""),3)</f>
        <v>3</v>
      </c>
      <c r="H96" s="47">
        <f ca="1">IFERROR(__xludf.DUMMYFUNCTION("""COMPUTED_VALUE"""),15)</f>
        <v>15</v>
      </c>
      <c r="I96" s="47">
        <f ca="1">IFERROR(__xludf.DUMMYFUNCTION("""COMPUTED_VALUE"""),0)</f>
        <v>0</v>
      </c>
      <c r="J96" s="47"/>
      <c r="K96" s="94">
        <f t="shared" ca="1" si="3"/>
        <v>18</v>
      </c>
      <c r="L96" s="95"/>
      <c r="M96" s="69">
        <f t="shared" ca="1" si="5"/>
        <v>18</v>
      </c>
      <c r="N96" s="48">
        <v>90</v>
      </c>
      <c r="O96" s="48" t="s">
        <v>83</v>
      </c>
      <c r="P96" s="48"/>
    </row>
    <row r="97" spans="1:16" ht="12.75" x14ac:dyDescent="0.2">
      <c r="A97" s="48">
        <v>91</v>
      </c>
      <c r="B97" s="66" t="str">
        <f ca="1">IFERROR(__xludf.DUMMYFUNCTION("""COMPUTED_VALUE"""),"Резонова Анжелика Витальевна")</f>
        <v>Резонова Анжелика Витальевна</v>
      </c>
      <c r="C97" s="66"/>
      <c r="D97" s="66" t="str">
        <f ca="1">IFERROR(__xludf.DUMMYFUNCTION("""COMPUTED_VALUE"""),"МОУ ""СОШ ""Патриот"" с кадетскими классами""")</f>
        <v>МОУ "СОШ "Патриот" с кадетскими классами"</v>
      </c>
      <c r="E97" s="47">
        <f ca="1">IFERROR(__xludf.DUMMYFUNCTION("""COMPUTED_VALUE"""),8)</f>
        <v>8</v>
      </c>
      <c r="F97" s="66" t="str">
        <f ca="1">IFERROR(__xludf.DUMMYFUNCTION("""COMPUTED_VALUE"""),"Языкова Светлана Александровна")</f>
        <v>Языкова Светлана Александровна</v>
      </c>
      <c r="G97" s="47">
        <f ca="1">IFERROR(__xludf.DUMMYFUNCTION("""COMPUTED_VALUE"""),4)</f>
        <v>4</v>
      </c>
      <c r="H97" s="47">
        <f ca="1">IFERROR(__xludf.DUMMYFUNCTION("""COMPUTED_VALUE"""),14)</f>
        <v>14</v>
      </c>
      <c r="I97" s="47">
        <f ca="1">IFERROR(__xludf.DUMMYFUNCTION("""COMPUTED_VALUE"""),0)</f>
        <v>0</v>
      </c>
      <c r="J97" s="47"/>
      <c r="K97" s="94">
        <f t="shared" ca="1" si="3"/>
        <v>18</v>
      </c>
      <c r="L97" s="95"/>
      <c r="M97" s="69">
        <f t="shared" ca="1" si="5"/>
        <v>18</v>
      </c>
      <c r="N97" s="47">
        <v>91</v>
      </c>
      <c r="O97" s="48" t="s">
        <v>83</v>
      </c>
      <c r="P97" s="48"/>
    </row>
    <row r="98" spans="1:16" ht="12.75" x14ac:dyDescent="0.2">
      <c r="A98" s="47">
        <v>92</v>
      </c>
      <c r="B98" s="70" t="str">
        <f ca="1">IFERROR(__xludf.DUMMYFUNCTION("""COMPUTED_VALUE"""),"Журавлева Анастасия Андреевна")</f>
        <v>Журавлева Анастасия Андреевна</v>
      </c>
      <c r="C98" s="70"/>
      <c r="D98" s="70" t="str">
        <f ca="1">IFERROR(__xludf.DUMMYFUNCTION("""COMPUTED_VALUE"""),"МОУ ""ООШ№10""")</f>
        <v>МОУ "ООШ№10"</v>
      </c>
      <c r="E98" s="48">
        <f ca="1">IFERROR(__xludf.DUMMYFUNCTION("""COMPUTED_VALUE"""),8)</f>
        <v>8</v>
      </c>
      <c r="F98" s="70" t="str">
        <f ca="1">IFERROR(__xludf.DUMMYFUNCTION("""COMPUTED_VALUE"""),"Бузюрова Оксана Васильевна")</f>
        <v>Бузюрова Оксана Васильевна</v>
      </c>
      <c r="G98" s="48">
        <f ca="1">IFERROR(__xludf.DUMMYFUNCTION("""COMPUTED_VALUE"""),0)</f>
        <v>0</v>
      </c>
      <c r="H98" s="48">
        <f ca="1">IFERROR(__xludf.DUMMYFUNCTION("""COMPUTED_VALUE"""),17)</f>
        <v>17</v>
      </c>
      <c r="I98" s="48">
        <f ca="1">IFERROR(__xludf.DUMMYFUNCTION("""COMPUTED_VALUE"""),0)</f>
        <v>0</v>
      </c>
      <c r="J98" s="48"/>
      <c r="K98" s="94">
        <f t="shared" ca="1" si="3"/>
        <v>17</v>
      </c>
      <c r="L98" s="95"/>
      <c r="M98" s="69">
        <f t="shared" ca="1" si="5"/>
        <v>17</v>
      </c>
      <c r="N98" s="48">
        <v>92</v>
      </c>
      <c r="O98" s="48" t="s">
        <v>93</v>
      </c>
      <c r="P98" s="48"/>
    </row>
    <row r="99" spans="1:16" ht="12.75" x14ac:dyDescent="0.2">
      <c r="A99" s="48">
        <v>93</v>
      </c>
      <c r="B99" s="70" t="str">
        <f ca="1">IFERROR(__xludf.DUMMYFUNCTION("""COMPUTED_VALUE"""),"Кривозубова Софья Андреевна")</f>
        <v>Кривозубова Софья Андреевна</v>
      </c>
      <c r="C99" s="70"/>
      <c r="D99" s="70" t="str">
        <f ca="1">IFERROR(__xludf.DUMMYFUNCTION("""COMPUTED_VALUE"""),"МОУ ""СОШ им. Ю.А. Гагарина """)</f>
        <v>МОУ "СОШ им. Ю.А. Гагарина "</v>
      </c>
      <c r="E99" s="48">
        <f ca="1">IFERROR(__xludf.DUMMYFUNCTION("""COMPUTED_VALUE"""),8)</f>
        <v>8</v>
      </c>
      <c r="F99" s="70" t="str">
        <f ca="1">IFERROR(__xludf.DUMMYFUNCTION("""COMPUTED_VALUE"""),"Мищенко Ирина Николаевна")</f>
        <v>Мищенко Ирина Николаевна</v>
      </c>
      <c r="G99" s="48">
        <f ca="1">IFERROR(__xludf.DUMMYFUNCTION("""COMPUTED_VALUE"""),4)</f>
        <v>4</v>
      </c>
      <c r="H99" s="48">
        <f ca="1">IFERROR(__xludf.DUMMYFUNCTION("""COMPUTED_VALUE"""),13)</f>
        <v>13</v>
      </c>
      <c r="I99" s="48">
        <f ca="1">IFERROR(__xludf.DUMMYFUNCTION("""COMPUTED_VALUE"""),0)</f>
        <v>0</v>
      </c>
      <c r="J99" s="48"/>
      <c r="K99" s="94">
        <f t="shared" ca="1" si="3"/>
        <v>17</v>
      </c>
      <c r="L99" s="95"/>
      <c r="M99" s="69">
        <f t="shared" ca="1" si="5"/>
        <v>17</v>
      </c>
      <c r="N99" s="48">
        <v>93</v>
      </c>
      <c r="O99" s="48" t="s">
        <v>93</v>
      </c>
      <c r="P99" s="48"/>
    </row>
    <row r="100" spans="1:16" ht="12.75" x14ac:dyDescent="0.2">
      <c r="A100" s="48">
        <v>94</v>
      </c>
      <c r="B100" s="66" t="str">
        <f ca="1">IFERROR(__xludf.DUMMYFUNCTION("""COMPUTED_VALUE"""),"Мордвинов Никита")</f>
        <v>Мордвинов Никита</v>
      </c>
      <c r="C100" s="66"/>
      <c r="D100" s="66" t="str">
        <f ca="1">IFERROR(__xludf.DUMMYFUNCTION("""COMPUTED_VALUE"""),"МАОУ ""ООШ с. Степное""")</f>
        <v>МАОУ "ООШ с. Степное"</v>
      </c>
      <c r="E100" s="47">
        <f ca="1">IFERROR(__xludf.DUMMYFUNCTION("""COMPUTED_VALUE"""),8)</f>
        <v>8</v>
      </c>
      <c r="F100" s="66" t="str">
        <f ca="1">IFERROR(__xludf.DUMMYFUNCTION("""COMPUTED_VALUE"""),"Макарова Зухра Амирджановна")</f>
        <v>Макарова Зухра Амирджановна</v>
      </c>
      <c r="G100" s="47">
        <f ca="1">IFERROR(__xludf.DUMMYFUNCTION("""COMPUTED_VALUE"""),5)</f>
        <v>5</v>
      </c>
      <c r="H100" s="47">
        <f ca="1">IFERROR(__xludf.DUMMYFUNCTION("""COMPUTED_VALUE"""),10)</f>
        <v>10</v>
      </c>
      <c r="I100" s="47">
        <f ca="1">IFERROR(__xludf.DUMMYFUNCTION("""COMPUTED_VALUE"""),0)</f>
        <v>0</v>
      </c>
      <c r="J100" s="47"/>
      <c r="K100" s="94">
        <f t="shared" ca="1" si="3"/>
        <v>15</v>
      </c>
      <c r="L100" s="95"/>
      <c r="M100" s="69">
        <f t="shared" ca="1" si="5"/>
        <v>15</v>
      </c>
      <c r="N100" s="47">
        <v>94</v>
      </c>
      <c r="O100" s="48" t="s">
        <v>93</v>
      </c>
      <c r="P100" s="48"/>
    </row>
    <row r="101" spans="1:16" ht="15.75" customHeight="1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102"/>
      <c r="N101" s="102"/>
      <c r="O101" s="61"/>
      <c r="P101" s="61"/>
    </row>
    <row r="102" spans="1:16" ht="15.75" customHeight="1" x14ac:dyDescent="0.2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102"/>
      <c r="N102" s="102"/>
      <c r="O102" s="61"/>
      <c r="P102" s="61"/>
    </row>
  </sheetData>
  <sortState ref="B6:O99">
    <sortCondition descending="1" ref="K6:K99"/>
  </sortState>
  <mergeCells count="11">
    <mergeCell ref="A2:R2"/>
    <mergeCell ref="A3:R3"/>
    <mergeCell ref="A4:R4"/>
    <mergeCell ref="O5:P5"/>
    <mergeCell ref="G5:I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2"/>
  <sheetViews>
    <sheetView topLeftCell="G1" workbookViewId="0">
      <selection activeCell="Q6" sqref="Q6:Q17"/>
    </sheetView>
  </sheetViews>
  <sheetFormatPr defaultColWidth="14.42578125" defaultRowHeight="15.75" customHeight="1" x14ac:dyDescent="0.2"/>
  <cols>
    <col min="1" max="1" width="7" customWidth="1"/>
    <col min="2" max="2" width="34.42578125" customWidth="1"/>
    <col min="3" max="3" width="14.140625" customWidth="1"/>
    <col min="4" max="4" width="36.85546875" customWidth="1"/>
    <col min="5" max="5" width="9.85546875" customWidth="1"/>
    <col min="6" max="6" width="34.140625" customWidth="1"/>
    <col min="7" max="9" width="10.85546875" customWidth="1"/>
    <col min="10" max="10" width="10.85546875" hidden="1" customWidth="1"/>
    <col min="13" max="13" width="10.28515625" style="32" customWidth="1"/>
    <col min="14" max="14" width="12.140625" customWidth="1"/>
    <col min="16" max="16" width="29.7109375" customWidth="1"/>
    <col min="17" max="17" width="24.7109375" customWidth="1"/>
  </cols>
  <sheetData>
    <row r="1" spans="1:18" ht="15.75" customHeight="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.75" customHeight="1" x14ac:dyDescent="0.25">
      <c r="A2" s="108" t="s">
        <v>101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customHeight="1" x14ac:dyDescent="0.25">
      <c r="A3" s="108" t="s">
        <v>102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 customHeight="1" x14ac:dyDescent="0.25">
      <c r="A4" s="108" t="s">
        <v>108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12.75" x14ac:dyDescent="0.2">
      <c r="A5" s="118" t="s">
        <v>0</v>
      </c>
      <c r="B5" s="118" t="s">
        <v>1</v>
      </c>
      <c r="C5" s="118" t="s">
        <v>2</v>
      </c>
      <c r="D5" s="118" t="s">
        <v>3</v>
      </c>
      <c r="E5" s="118" t="s">
        <v>4</v>
      </c>
      <c r="F5" s="118" t="s">
        <v>5</v>
      </c>
      <c r="G5" s="116" t="s">
        <v>6</v>
      </c>
      <c r="H5" s="117"/>
      <c r="I5" s="117"/>
      <c r="J5" s="31"/>
      <c r="K5" s="78" t="s">
        <v>12</v>
      </c>
      <c r="L5" s="78" t="s">
        <v>8</v>
      </c>
      <c r="M5" s="78" t="s">
        <v>9</v>
      </c>
      <c r="N5" s="97" t="s">
        <v>10</v>
      </c>
      <c r="O5" s="120" t="s">
        <v>11</v>
      </c>
      <c r="P5" s="120"/>
    </row>
    <row r="6" spans="1:18" ht="12.75" x14ac:dyDescent="0.2">
      <c r="A6" s="119"/>
      <c r="B6" s="119"/>
      <c r="C6" s="119"/>
      <c r="D6" s="119"/>
      <c r="E6" s="119"/>
      <c r="F6" s="119"/>
      <c r="G6" s="93" t="s">
        <v>69</v>
      </c>
      <c r="H6" s="93" t="s">
        <v>70</v>
      </c>
      <c r="I6" s="93" t="s">
        <v>71</v>
      </c>
      <c r="J6" s="93"/>
      <c r="K6" s="93" t="s">
        <v>72</v>
      </c>
      <c r="L6" s="93"/>
      <c r="M6" s="93"/>
      <c r="N6" s="98"/>
      <c r="O6" s="80"/>
      <c r="P6" s="80"/>
      <c r="Q6" s="101" t="s">
        <v>136</v>
      </c>
    </row>
    <row r="7" spans="1:18" ht="12.75" x14ac:dyDescent="0.2">
      <c r="A7" s="47">
        <v>1</v>
      </c>
      <c r="B7" s="37" t="str">
        <f ca="1">IFERROR(__xludf.DUMMYFUNCTION("""COMPUTED_VALUE"""),"Степаненко Надежда Сергеевна")</f>
        <v>Степаненко Надежда Сергеевна</v>
      </c>
      <c r="C7" s="37"/>
      <c r="D7" s="41" t="str">
        <f ca="1">IFERROR(__xludf.DUMMYFUNCTION("""COMPUTED_VALUE"""),"МОУ ""СОШ с. Зеленый Дол""")</f>
        <v>МОУ "СОШ с. Зеленый Дол"</v>
      </c>
      <c r="E7" s="47">
        <f ca="1">IFERROR(__xludf.DUMMYFUNCTION("""COMPUTED_VALUE"""),9)</f>
        <v>9</v>
      </c>
      <c r="F7" s="37" t="str">
        <f ca="1">IFERROR(__xludf.DUMMYFUNCTION("""COMPUTED_VALUE"""),"Абдулина Нуржамал Кайруевна")</f>
        <v>Абдулина Нуржамал Кайруевна</v>
      </c>
      <c r="G7" s="47">
        <f ca="1">IFERROR(__xludf.DUMMYFUNCTION("""COMPUTED_VALUE"""),9)</f>
        <v>9</v>
      </c>
      <c r="H7" s="47">
        <f ca="1">IFERROR(__xludf.DUMMYFUNCTION("""COMPUTED_VALUE"""),16)</f>
        <v>16</v>
      </c>
      <c r="I7" s="47">
        <f ca="1">IFERROR(__xludf.DUMMYFUNCTION("""COMPUTED_VALUE"""),6)</f>
        <v>6</v>
      </c>
      <c r="J7" s="47"/>
      <c r="K7" s="47">
        <f ca="1">SUM(G7:I7)</f>
        <v>31</v>
      </c>
      <c r="L7" s="38"/>
      <c r="M7" s="69">
        <f ca="1">K7</f>
        <v>31</v>
      </c>
      <c r="N7" s="47">
        <v>1</v>
      </c>
      <c r="O7" s="47" t="s">
        <v>82</v>
      </c>
      <c r="P7" s="47" t="s">
        <v>109</v>
      </c>
      <c r="Q7" s="30" t="s">
        <v>73</v>
      </c>
    </row>
    <row r="8" spans="1:18" ht="12.75" x14ac:dyDescent="0.2">
      <c r="A8" s="48">
        <v>2</v>
      </c>
      <c r="B8" s="36" t="str">
        <f ca="1">IFERROR(__xludf.DUMMYFUNCTION("""COMPUTED_VALUE"""),"Сергеев Арсений Александрович")</f>
        <v>Сергеев Арсений Александрович</v>
      </c>
      <c r="C8" s="36"/>
      <c r="D8" s="4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8" s="48">
        <f ca="1">IFERROR(__xludf.DUMMYFUNCTION("""COMPUTED_VALUE"""),9)</f>
        <v>9</v>
      </c>
      <c r="F8" s="36" t="str">
        <f ca="1">IFERROR(__xludf.DUMMYFUNCTION("""COMPUTED_VALUE"""),"Новинкина Светлана Габдулловна")</f>
        <v>Новинкина Светлана Габдулловна</v>
      </c>
      <c r="G8" s="48">
        <f ca="1">IFERROR(__xludf.DUMMYFUNCTION("""COMPUTED_VALUE"""),9)</f>
        <v>9</v>
      </c>
      <c r="H8" s="48">
        <f ca="1">IFERROR(__xludf.DUMMYFUNCTION("""COMPUTED_VALUE"""),17)</f>
        <v>17</v>
      </c>
      <c r="I8" s="48">
        <f ca="1">IFERROR(__xludf.DUMMYFUNCTION("""COMPUTED_VALUE"""),4)</f>
        <v>4</v>
      </c>
      <c r="J8" s="48"/>
      <c r="K8" s="47">
        <f t="shared" ref="K8:K71" ca="1" si="0">SUM(G8:I8)</f>
        <v>30</v>
      </c>
      <c r="L8" s="38"/>
      <c r="M8" s="69">
        <f t="shared" ref="M8:M71" ca="1" si="1">K8</f>
        <v>30</v>
      </c>
      <c r="N8" s="48">
        <v>2</v>
      </c>
      <c r="O8" s="48" t="s">
        <v>82</v>
      </c>
      <c r="P8" s="47" t="s">
        <v>109</v>
      </c>
      <c r="Q8" s="30" t="s">
        <v>74</v>
      </c>
    </row>
    <row r="9" spans="1:18" ht="12.75" x14ac:dyDescent="0.2">
      <c r="A9" s="48">
        <v>3</v>
      </c>
      <c r="B9" s="36" t="str">
        <f ca="1">IFERROR(__xludf.DUMMYFUNCTION("""COMPUTED_VALUE"""),"Мазурова Алина Витальевна")</f>
        <v>Мазурова Алина Витальевна</v>
      </c>
      <c r="C9" s="36"/>
      <c r="D9" s="4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9" s="48">
        <f ca="1">IFERROR(__xludf.DUMMYFUNCTION("""COMPUTED_VALUE"""),9)</f>
        <v>9</v>
      </c>
      <c r="F9" s="36" t="str">
        <f ca="1">IFERROR(__xludf.DUMMYFUNCTION("""COMPUTED_VALUE"""),"Новинкина Светлана Габдулловна")</f>
        <v>Новинкина Светлана Габдулловна</v>
      </c>
      <c r="G9" s="48">
        <f ca="1">IFERROR(__xludf.DUMMYFUNCTION("""COMPUTED_VALUE"""),7)</f>
        <v>7</v>
      </c>
      <c r="H9" s="48">
        <f ca="1">IFERROR(__xludf.DUMMYFUNCTION("""COMPUTED_VALUE"""),17)</f>
        <v>17</v>
      </c>
      <c r="I9" s="48">
        <f ca="1">IFERROR(__xludf.DUMMYFUNCTION("""COMPUTED_VALUE"""),5)</f>
        <v>5</v>
      </c>
      <c r="J9" s="48"/>
      <c r="K9" s="47">
        <f t="shared" ca="1" si="0"/>
        <v>29</v>
      </c>
      <c r="L9" s="38"/>
      <c r="M9" s="69">
        <f t="shared" ca="1" si="1"/>
        <v>29</v>
      </c>
      <c r="N9" s="48">
        <v>3</v>
      </c>
      <c r="O9" s="48" t="s">
        <v>82</v>
      </c>
      <c r="P9" s="47" t="s">
        <v>109</v>
      </c>
      <c r="Q9" s="30" t="s">
        <v>75</v>
      </c>
    </row>
    <row r="10" spans="1:18" ht="12.75" x14ac:dyDescent="0.2">
      <c r="A10" s="48">
        <v>4</v>
      </c>
      <c r="B10" s="36" t="str">
        <f ca="1">IFERROR(__xludf.DUMMYFUNCTION("""COMPUTED_VALUE"""),"Капанадзе Виктория Витальевна")</f>
        <v>Капанадзе Виктория Витальевна</v>
      </c>
      <c r="C10" s="36"/>
      <c r="D10" s="4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10" s="48">
        <f ca="1">IFERROR(__xludf.DUMMYFUNCTION("""COMPUTED_VALUE"""),9)</f>
        <v>9</v>
      </c>
      <c r="F10" s="36" t="str">
        <f ca="1">IFERROR(__xludf.DUMMYFUNCTION("""COMPUTED_VALUE"""),"Новинкина Светлана Габдулловна")</f>
        <v>Новинкина Светлана Габдулловна</v>
      </c>
      <c r="G10" s="48">
        <f ca="1">IFERROR(__xludf.DUMMYFUNCTION("""COMPUTED_VALUE"""),7)</f>
        <v>7</v>
      </c>
      <c r="H10" s="48">
        <f ca="1">IFERROR(__xludf.DUMMYFUNCTION("""COMPUTED_VALUE"""),17)</f>
        <v>17</v>
      </c>
      <c r="I10" s="48">
        <f ca="1">IFERROR(__xludf.DUMMYFUNCTION("""COMPUTED_VALUE"""),4)</f>
        <v>4</v>
      </c>
      <c r="J10" s="48"/>
      <c r="K10" s="47">
        <f t="shared" ca="1" si="0"/>
        <v>28</v>
      </c>
      <c r="L10" s="38"/>
      <c r="M10" s="69">
        <f t="shared" ca="1" si="1"/>
        <v>28</v>
      </c>
      <c r="N10" s="47">
        <v>4</v>
      </c>
      <c r="O10" s="48" t="s">
        <v>82</v>
      </c>
      <c r="P10" s="47" t="s">
        <v>109</v>
      </c>
    </row>
    <row r="11" spans="1:18" ht="12.75" x14ac:dyDescent="0.2">
      <c r="A11" s="47">
        <v>5</v>
      </c>
      <c r="B11" s="36" t="str">
        <f ca="1">IFERROR(__xludf.DUMMYFUNCTION("IMPORTRANGE(""https://docs.google.com/spreadsheets/d/16CWr8ky6L0i1S4UOLMYHizeHS6aZnIDEnQPyRJyTpcI/edit#gid=0"", ""СОШ №1!B23:O27"")"),"Кобякова Диана Александровна")</f>
        <v>Кобякова Диана Александровна</v>
      </c>
      <c r="C11" s="36"/>
      <c r="D11" s="40" t="str">
        <f ca="1">IFERROR(__xludf.DUMMYFUNCTION("""COMPUTED_VALUE"""),"МОУ ""СОШ №1""")</f>
        <v>МОУ "СОШ №1"</v>
      </c>
      <c r="E11" s="48">
        <f ca="1">IFERROR(__xludf.DUMMYFUNCTION("""COMPUTED_VALUE"""),9)</f>
        <v>9</v>
      </c>
      <c r="F11" s="36" t="str">
        <f ca="1">IFERROR(__xludf.DUMMYFUNCTION("""COMPUTED_VALUE"""),"Решетникова Светлана Евгеньевна")</f>
        <v>Решетникова Светлана Евгеньевна</v>
      </c>
      <c r="G11" s="48">
        <f ca="1">IFERROR(__xludf.DUMMYFUNCTION("""COMPUTED_VALUE"""),8)</f>
        <v>8</v>
      </c>
      <c r="H11" s="48">
        <v>12</v>
      </c>
      <c r="I11" s="48">
        <v>7</v>
      </c>
      <c r="J11" s="48"/>
      <c r="K11" s="47">
        <f t="shared" ca="1" si="0"/>
        <v>27</v>
      </c>
      <c r="L11" s="36"/>
      <c r="M11" s="69">
        <f t="shared" ca="1" si="1"/>
        <v>27</v>
      </c>
      <c r="N11" s="48">
        <v>5</v>
      </c>
      <c r="O11" s="48" t="s">
        <v>82</v>
      </c>
      <c r="P11" s="47" t="s">
        <v>109</v>
      </c>
      <c r="Q11" s="30" t="s">
        <v>89</v>
      </c>
    </row>
    <row r="12" spans="1:18" ht="12.75" x14ac:dyDescent="0.2">
      <c r="A12" s="48">
        <v>6</v>
      </c>
      <c r="B12" s="39" t="str">
        <f ca="1">IFERROR(__xludf.DUMMYFUNCTION("IMPORTRANGE(""https://docs.google.com/spreadsheets/d/16CWr8ky6L0i1S4UOLMYHizeHS6aZnIDEnQPyRJyTpcI/edit#gid=0"", ""ООШ №10!B23:O27"")"),"Закопайло Вероника Тарасовна")</f>
        <v>Закопайло Вероника Тарасовна</v>
      </c>
      <c r="C12" s="36"/>
      <c r="D12" s="40" t="str">
        <f ca="1">IFERROR(__xludf.DUMMYFUNCTION("""COMPUTED_VALUE"""),"МОУ ""ООШ№10""")</f>
        <v>МОУ "ООШ№10"</v>
      </c>
      <c r="E12" s="48">
        <f ca="1">IFERROR(__xludf.DUMMYFUNCTION("""COMPUTED_VALUE"""),9)</f>
        <v>9</v>
      </c>
      <c r="F12" s="36" t="str">
        <f ca="1">IFERROR(__xludf.DUMMYFUNCTION("""COMPUTED_VALUE"""),"Бузюрова Оксана Васильевна")</f>
        <v>Бузюрова Оксана Васильевна</v>
      </c>
      <c r="G12" s="48">
        <f ca="1">IFERROR(__xludf.DUMMYFUNCTION("""COMPUTED_VALUE"""),7)</f>
        <v>7</v>
      </c>
      <c r="H12" s="48">
        <f ca="1">IFERROR(__xludf.DUMMYFUNCTION("""COMPUTED_VALUE"""),17)</f>
        <v>17</v>
      </c>
      <c r="I12" s="48">
        <f ca="1">IFERROR(__xludf.DUMMYFUNCTION("""COMPUTED_VALUE"""),3)</f>
        <v>3</v>
      </c>
      <c r="J12" s="48"/>
      <c r="K12" s="47">
        <f t="shared" ca="1" si="0"/>
        <v>27</v>
      </c>
      <c r="L12" s="38"/>
      <c r="M12" s="69">
        <f t="shared" ca="1" si="1"/>
        <v>27</v>
      </c>
      <c r="N12" s="48">
        <v>6</v>
      </c>
      <c r="O12" s="48" t="s">
        <v>82</v>
      </c>
      <c r="P12" s="47" t="s">
        <v>109</v>
      </c>
      <c r="Q12" s="30" t="s">
        <v>90</v>
      </c>
    </row>
    <row r="13" spans="1:18" ht="12.75" x14ac:dyDescent="0.2">
      <c r="A13" s="48">
        <v>7</v>
      </c>
      <c r="B13" s="37" t="str">
        <f ca="1">IFERROR(__xludf.DUMMYFUNCTION("""COMPUTED_VALUE"""),"Уханова Анастасия Андреевна")</f>
        <v>Уханова Анастасия Андреевна</v>
      </c>
      <c r="C13" s="37"/>
      <c r="D13" s="41" t="str">
        <f ca="1">IFERROR(__xludf.DUMMYFUNCTION("""COMPUTED_VALUE"""),"МОУ ""СОШ с. Березовка""")</f>
        <v>МОУ "СОШ с. Березовка"</v>
      </c>
      <c r="E13" s="47">
        <f ca="1">IFERROR(__xludf.DUMMYFUNCTION("""COMPUTED_VALUE"""),9)</f>
        <v>9</v>
      </c>
      <c r="F13" s="37" t="str">
        <f ca="1">IFERROR(__xludf.DUMMYFUNCTION("""COMPUTED_VALUE"""),"Турсумбек Нагима Айгалиевна ")</f>
        <v xml:space="preserve">Турсумбек Нагима Айгалиевна </v>
      </c>
      <c r="G13" s="47">
        <f ca="1">IFERROR(__xludf.DUMMYFUNCTION("""COMPUTED_VALUE"""),6)</f>
        <v>6</v>
      </c>
      <c r="H13" s="47">
        <f ca="1">IFERROR(__xludf.DUMMYFUNCTION("""COMPUTED_VALUE"""),16)</f>
        <v>16</v>
      </c>
      <c r="I13" s="47">
        <f ca="1">IFERROR(__xludf.DUMMYFUNCTION("""COMPUTED_VALUE"""),5)</f>
        <v>5</v>
      </c>
      <c r="J13" s="47"/>
      <c r="K13" s="47">
        <f t="shared" ca="1" si="0"/>
        <v>27</v>
      </c>
      <c r="L13" s="38"/>
      <c r="M13" s="69">
        <f t="shared" ca="1" si="1"/>
        <v>27</v>
      </c>
      <c r="N13" s="47">
        <v>7</v>
      </c>
      <c r="O13" s="48" t="s">
        <v>82</v>
      </c>
      <c r="P13" s="47" t="s">
        <v>109</v>
      </c>
    </row>
    <row r="14" spans="1:18" ht="12.75" x14ac:dyDescent="0.2">
      <c r="A14" s="48">
        <v>8</v>
      </c>
      <c r="B14" s="37" t="str">
        <f ca="1">IFERROR(__xludf.DUMMYFUNCTION("""COMPUTED_VALUE"""),"Селиверстов Алексей Дмитриевич")</f>
        <v>Селиверстов Алексей Дмитриевич</v>
      </c>
      <c r="C14" s="37"/>
      <c r="D14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14" s="47">
        <f ca="1">IFERROR(__xludf.DUMMYFUNCTION("""COMPUTED_VALUE"""),9)</f>
        <v>9</v>
      </c>
      <c r="F14" s="37" t="str">
        <f ca="1">IFERROR(__xludf.DUMMYFUNCTION("""COMPUTED_VALUE"""),"Новинкина Светлана Габдулловна")</f>
        <v>Новинкина Светлана Габдулловна</v>
      </c>
      <c r="G14" s="47">
        <f ca="1">IFERROR(__xludf.DUMMYFUNCTION("""COMPUTED_VALUE"""),7)</f>
        <v>7</v>
      </c>
      <c r="H14" s="47">
        <f ca="1">IFERROR(__xludf.DUMMYFUNCTION("""COMPUTED_VALUE"""),17)</f>
        <v>17</v>
      </c>
      <c r="I14" s="47">
        <f ca="1">IFERROR(__xludf.DUMMYFUNCTION("""COMPUTED_VALUE"""),3)</f>
        <v>3</v>
      </c>
      <c r="J14" s="47"/>
      <c r="K14" s="47">
        <f t="shared" ca="1" si="0"/>
        <v>27</v>
      </c>
      <c r="L14" s="38"/>
      <c r="M14" s="69">
        <f t="shared" ca="1" si="1"/>
        <v>27</v>
      </c>
      <c r="N14" s="48">
        <v>8</v>
      </c>
      <c r="O14" s="48" t="s">
        <v>82</v>
      </c>
      <c r="P14" s="47" t="s">
        <v>109</v>
      </c>
      <c r="Q14" s="30" t="s">
        <v>121</v>
      </c>
    </row>
    <row r="15" spans="1:18" ht="12.75" x14ac:dyDescent="0.2">
      <c r="A15" s="47">
        <v>9</v>
      </c>
      <c r="B15" s="36" t="str">
        <f ca="1">IFERROR(__xludf.DUMMYFUNCTION("""COMPUTED_VALUE"""),"Кравченко Валерия Сергеевна")</f>
        <v>Кравченко Валерия Сергеевна</v>
      </c>
      <c r="C15" s="36"/>
      <c r="D15" s="40" t="str">
        <f ca="1">IFERROR(__xludf.DUMMYFUNCTION("""COMPUTED_VALUE"""),"МОУ ""ООШ№10""")</f>
        <v>МОУ "ООШ№10"</v>
      </c>
      <c r="E15" s="48">
        <f ca="1">IFERROR(__xludf.DUMMYFUNCTION("""COMPUTED_VALUE"""),9)</f>
        <v>9</v>
      </c>
      <c r="F15" s="36" t="str">
        <f ca="1">IFERROR(__xludf.DUMMYFUNCTION("""COMPUTED_VALUE"""),"Бузюрова Оксана Васильевна")</f>
        <v>Бузюрова Оксана Васильевна</v>
      </c>
      <c r="G15" s="48">
        <f ca="1">IFERROR(__xludf.DUMMYFUNCTION("""COMPUTED_VALUE"""),7)</f>
        <v>7</v>
      </c>
      <c r="H15" s="48">
        <f ca="1">IFERROR(__xludf.DUMMYFUNCTION("""COMPUTED_VALUE"""),16)</f>
        <v>16</v>
      </c>
      <c r="I15" s="48">
        <f ca="1">IFERROR(__xludf.DUMMYFUNCTION("""COMPUTED_VALUE"""),3)</f>
        <v>3</v>
      </c>
      <c r="J15" s="48"/>
      <c r="K15" s="47">
        <f t="shared" ca="1" si="0"/>
        <v>26</v>
      </c>
      <c r="L15" s="38"/>
      <c r="M15" s="69">
        <f t="shared" ca="1" si="1"/>
        <v>26</v>
      </c>
      <c r="N15" s="48">
        <v>9</v>
      </c>
      <c r="O15" s="48" t="s">
        <v>82</v>
      </c>
      <c r="P15" s="47" t="s">
        <v>109</v>
      </c>
      <c r="Q15" s="30" t="s">
        <v>122</v>
      </c>
    </row>
    <row r="16" spans="1:18" ht="12.75" x14ac:dyDescent="0.2">
      <c r="A16" s="48">
        <v>10</v>
      </c>
      <c r="B16" s="39" t="str">
        <f ca="1">IFERROR(__xludf.DUMMYFUNCTION("IMPORTRANGE(""https://docs.google.com/spreadsheets/d/16CWr8ky6L0i1S4UOLMYHizeHS6aZnIDEnQPyRJyTpcI/edit#gid=0"", ""СОШ с. Березовка!B23:O27"")"),"Смагина Ксения Викторовна")</f>
        <v>Смагина Ксения Викторовна</v>
      </c>
      <c r="C16" s="37"/>
      <c r="D16" s="41" t="str">
        <f ca="1">IFERROR(__xludf.DUMMYFUNCTION("""COMPUTED_VALUE"""),"МОУ ""СОШ с. Березовка""")</f>
        <v>МОУ "СОШ с. Березовка"</v>
      </c>
      <c r="E16" s="47">
        <f ca="1">IFERROR(__xludf.DUMMYFUNCTION("""COMPUTED_VALUE"""),9)</f>
        <v>9</v>
      </c>
      <c r="F16" s="37" t="str">
        <f ca="1">IFERROR(__xludf.DUMMYFUNCTION("""COMPUTED_VALUE"""),"Турсумбек Нагима Айгалиевна ")</f>
        <v xml:space="preserve">Турсумбек Нагима Айгалиевна </v>
      </c>
      <c r="G16" s="47">
        <f ca="1">IFERROR(__xludf.DUMMYFUNCTION("""COMPUTED_VALUE"""),7)</f>
        <v>7</v>
      </c>
      <c r="H16" s="47">
        <f ca="1">IFERROR(__xludf.DUMMYFUNCTION("""COMPUTED_VALUE"""),14)</f>
        <v>14</v>
      </c>
      <c r="I16" s="47">
        <f ca="1">IFERROR(__xludf.DUMMYFUNCTION("""COMPUTED_VALUE"""),5)</f>
        <v>5</v>
      </c>
      <c r="J16" s="47"/>
      <c r="K16" s="47">
        <f t="shared" ca="1" si="0"/>
        <v>26</v>
      </c>
      <c r="L16" s="38"/>
      <c r="M16" s="69">
        <f t="shared" ca="1" si="1"/>
        <v>26</v>
      </c>
      <c r="N16" s="47">
        <v>10</v>
      </c>
      <c r="O16" s="48" t="s">
        <v>82</v>
      </c>
      <c r="P16" s="47" t="s">
        <v>109</v>
      </c>
      <c r="Q16" s="30" t="s">
        <v>123</v>
      </c>
    </row>
    <row r="17" spans="1:17" ht="12.75" x14ac:dyDescent="0.2">
      <c r="A17" s="48">
        <v>11</v>
      </c>
      <c r="B17" s="39" t="str">
        <f ca="1">IFERROR(__xludf.DUMMYFUNCTION("IMPORTRANGE(""https://docs.google.com/spreadsheets/d/16CWr8ky6L0i1S4UOLMYHizeHS6aZnIDEnQPyRJyTpcI/edit#gid=0"", ""СОШ с. Зеленый Дол!B23:O27"")"),"Соколова Юлия Николаевна")</f>
        <v>Соколова Юлия Николаевна</v>
      </c>
      <c r="C17" s="37"/>
      <c r="D17" s="41" t="str">
        <f ca="1">IFERROR(__xludf.DUMMYFUNCTION("""COMPUTED_VALUE"""),"МОУ ""СОШ с. Зеленый Дол""")</f>
        <v>МОУ "СОШ с. Зеленый Дол"</v>
      </c>
      <c r="E17" s="47">
        <f ca="1">IFERROR(__xludf.DUMMYFUNCTION("""COMPUTED_VALUE"""),9)</f>
        <v>9</v>
      </c>
      <c r="F17" s="37" t="str">
        <f ca="1">IFERROR(__xludf.DUMMYFUNCTION("""COMPUTED_VALUE"""),"Абдулина Нуржамал Кайруевна")</f>
        <v>Абдулина Нуржамал Кайруевна</v>
      </c>
      <c r="G17" s="47">
        <f ca="1">IFERROR(__xludf.DUMMYFUNCTION("""COMPUTED_VALUE"""),5)</f>
        <v>5</v>
      </c>
      <c r="H17" s="47">
        <f ca="1">IFERROR(__xludf.DUMMYFUNCTION("""COMPUTED_VALUE"""),16)</f>
        <v>16</v>
      </c>
      <c r="I17" s="47">
        <f ca="1">IFERROR(__xludf.DUMMYFUNCTION("""COMPUTED_VALUE"""),5)</f>
        <v>5</v>
      </c>
      <c r="J17" s="47"/>
      <c r="K17" s="47">
        <f t="shared" ca="1" si="0"/>
        <v>26</v>
      </c>
      <c r="L17" s="38"/>
      <c r="M17" s="69">
        <f t="shared" ca="1" si="1"/>
        <v>26</v>
      </c>
      <c r="N17" s="48">
        <v>11</v>
      </c>
      <c r="O17" s="48" t="s">
        <v>82</v>
      </c>
      <c r="P17" s="47" t="s">
        <v>109</v>
      </c>
      <c r="Q17" s="30" t="s">
        <v>124</v>
      </c>
    </row>
    <row r="18" spans="1:17" ht="12.75" x14ac:dyDescent="0.2">
      <c r="A18" s="48">
        <v>12</v>
      </c>
      <c r="B18" s="37" t="str">
        <f ca="1">IFERROR(__xludf.DUMMYFUNCTION("""COMPUTED_VALUE"""),"Ибрагимова Гюзаль Линатовна")</f>
        <v>Ибрагимова Гюзаль Линатовна</v>
      </c>
      <c r="C18" s="37"/>
      <c r="D18" s="41" t="str">
        <f ca="1">IFERROR(__xludf.DUMMYFUNCTION("""COMPUTED_VALUE"""),"МОУ ""СОШ п. Новопушкинское""")</f>
        <v>МОУ "СОШ п. Новопушкинское"</v>
      </c>
      <c r="E18" s="47">
        <f ca="1">IFERROR(__xludf.DUMMYFUNCTION("""COMPUTED_VALUE"""),9)</f>
        <v>9</v>
      </c>
      <c r="F18" s="37" t="str">
        <f ca="1">IFERROR(__xludf.DUMMYFUNCTION("""COMPUTED_VALUE"""),"Юшенова Лариса Николаевна")</f>
        <v>Юшенова Лариса Николаевна</v>
      </c>
      <c r="G18" s="47">
        <f ca="1">IFERROR(__xludf.DUMMYFUNCTION("""COMPUTED_VALUE"""),6)</f>
        <v>6</v>
      </c>
      <c r="H18" s="47">
        <f ca="1">IFERROR(__xludf.DUMMYFUNCTION("""COMPUTED_VALUE"""),14)</f>
        <v>14</v>
      </c>
      <c r="I18" s="47">
        <f ca="1">IFERROR(__xludf.DUMMYFUNCTION("""COMPUTED_VALUE"""),6)</f>
        <v>6</v>
      </c>
      <c r="J18" s="47"/>
      <c r="K18" s="47">
        <f t="shared" ca="1" si="0"/>
        <v>26</v>
      </c>
      <c r="L18" s="38"/>
      <c r="M18" s="69">
        <f t="shared" ca="1" si="1"/>
        <v>26</v>
      </c>
      <c r="N18" s="48">
        <v>12</v>
      </c>
      <c r="O18" s="48" t="s">
        <v>82</v>
      </c>
      <c r="P18" s="47" t="s">
        <v>109</v>
      </c>
    </row>
    <row r="19" spans="1:17" ht="12.75" x14ac:dyDescent="0.2">
      <c r="A19" s="47">
        <v>13</v>
      </c>
      <c r="B19" s="37" t="str">
        <f ca="1">IFERROR(__xludf.DUMMYFUNCTION("""COMPUTED_VALUE"""),"Слепов Михаил Александрович")</f>
        <v>Слепов Михаил Александрович</v>
      </c>
      <c r="C19" s="37"/>
      <c r="D19" s="41" t="str">
        <f ca="1">IFERROR(__xludf.DUMMYFUNCTION("""COMPUTED_VALUE"""),"МОУ ""СОШ №4""")</f>
        <v>МОУ "СОШ №4"</v>
      </c>
      <c r="E19" s="47">
        <f ca="1">IFERROR(__xludf.DUMMYFUNCTION("""COMPUTED_VALUE"""),9)</f>
        <v>9</v>
      </c>
      <c r="F19" s="37" t="str">
        <f ca="1">IFERROR(__xludf.DUMMYFUNCTION("""COMPUTED_VALUE"""),"Шевченко Татьяна Петровна")</f>
        <v>Шевченко Татьяна Петровна</v>
      </c>
      <c r="G19" s="47">
        <f ca="1">IFERROR(__xludf.DUMMYFUNCTION("""COMPUTED_VALUE"""),8)</f>
        <v>8</v>
      </c>
      <c r="H19" s="47">
        <f ca="1">IFERROR(__xludf.DUMMYFUNCTION("""COMPUTED_VALUE"""),13)</f>
        <v>13</v>
      </c>
      <c r="I19" s="47">
        <f ca="1">IFERROR(__xludf.DUMMYFUNCTION("""COMPUTED_VALUE"""),5)</f>
        <v>5</v>
      </c>
      <c r="J19" s="47"/>
      <c r="K19" s="47">
        <f t="shared" ca="1" si="0"/>
        <v>26</v>
      </c>
      <c r="L19" s="38"/>
      <c r="M19" s="69">
        <f t="shared" ca="1" si="1"/>
        <v>26</v>
      </c>
      <c r="N19" s="47">
        <v>13</v>
      </c>
      <c r="O19" s="48" t="s">
        <v>82</v>
      </c>
      <c r="P19" s="47" t="s">
        <v>109</v>
      </c>
    </row>
    <row r="20" spans="1:17" ht="12.75" x14ac:dyDescent="0.2">
      <c r="A20" s="48">
        <v>14</v>
      </c>
      <c r="B20" s="36" t="str">
        <f ca="1">IFERROR(__xludf.DUMMYFUNCTION("""COMPUTED_VALUE"""),"Токарев Алексей Евгеньевич")</f>
        <v>Токарев Алексей Евгеньевич</v>
      </c>
      <c r="C20" s="36"/>
      <c r="D20" s="40" t="str">
        <f ca="1">IFERROR(__xludf.DUMMYFUNCTION("""COMPUTED_VALUE"""),"МОУ ""ООШ№10""")</f>
        <v>МОУ "ООШ№10"</v>
      </c>
      <c r="E20" s="48">
        <f ca="1">IFERROR(__xludf.DUMMYFUNCTION("""COMPUTED_VALUE"""),9)</f>
        <v>9</v>
      </c>
      <c r="F20" s="36" t="str">
        <f ca="1">IFERROR(__xludf.DUMMYFUNCTION("""COMPUTED_VALUE"""),"Бузюрова Оксана Васильевна")</f>
        <v>Бузюрова Оксана Васильевна</v>
      </c>
      <c r="G20" s="48">
        <f ca="1">IFERROR(__xludf.DUMMYFUNCTION("""COMPUTED_VALUE"""),7)</f>
        <v>7</v>
      </c>
      <c r="H20" s="48">
        <f ca="1">IFERROR(__xludf.DUMMYFUNCTION("""COMPUTED_VALUE"""),17)</f>
        <v>17</v>
      </c>
      <c r="I20" s="48">
        <f ca="1">IFERROR(__xludf.DUMMYFUNCTION("""COMPUTED_VALUE"""),1)</f>
        <v>1</v>
      </c>
      <c r="J20" s="48"/>
      <c r="K20" s="47">
        <f t="shared" ca="1" si="0"/>
        <v>25</v>
      </c>
      <c r="L20" s="38"/>
      <c r="M20" s="69">
        <f t="shared" ca="1" si="1"/>
        <v>25</v>
      </c>
      <c r="N20" s="48">
        <v>14</v>
      </c>
      <c r="O20" s="48" t="s">
        <v>83</v>
      </c>
      <c r="P20" s="47" t="s">
        <v>109</v>
      </c>
    </row>
    <row r="21" spans="1:17" ht="12.75" x14ac:dyDescent="0.2">
      <c r="A21" s="48">
        <v>15</v>
      </c>
      <c r="B21" s="39" t="str">
        <f ca="1">IFERROR(__xludf.DUMMYFUNCTION("IMPORTRANGE(""https://docs.google.com/spreadsheets/d/16CWr8ky6L0i1S4UOLMYHizeHS6aZnIDEnQPyRJyTpcI/edit#gid=0"", ""Патриот!B23:O27"")"),"Чурчук Иван Валерьевич")</f>
        <v>Чурчук Иван Валерьевич</v>
      </c>
      <c r="C21" s="36"/>
      <c r="D21" s="4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1" s="48">
        <f ca="1">IFERROR(__xludf.DUMMYFUNCTION("""COMPUTED_VALUE"""),9)</f>
        <v>9</v>
      </c>
      <c r="F21" s="36" t="str">
        <f ca="1">IFERROR(__xludf.DUMMYFUNCTION("""COMPUTED_VALUE"""),"Новинкина Светлана Габдулловна")</f>
        <v>Новинкина Светлана Габдулловна</v>
      </c>
      <c r="G21" s="48">
        <f ca="1">IFERROR(__xludf.DUMMYFUNCTION("""COMPUTED_VALUE"""),6)</f>
        <v>6</v>
      </c>
      <c r="H21" s="48">
        <f ca="1">IFERROR(__xludf.DUMMYFUNCTION("""COMPUTED_VALUE"""),14)</f>
        <v>14</v>
      </c>
      <c r="I21" s="48">
        <f ca="1">IFERROR(__xludf.DUMMYFUNCTION("""COMPUTED_VALUE"""),5)</f>
        <v>5</v>
      </c>
      <c r="J21" s="48"/>
      <c r="K21" s="47">
        <f t="shared" ca="1" si="0"/>
        <v>25</v>
      </c>
      <c r="L21" s="38"/>
      <c r="M21" s="69">
        <f t="shared" ca="1" si="1"/>
        <v>25</v>
      </c>
      <c r="N21" s="48">
        <v>15</v>
      </c>
      <c r="O21" s="48" t="s">
        <v>83</v>
      </c>
      <c r="P21" s="47" t="s">
        <v>109</v>
      </c>
    </row>
    <row r="22" spans="1:17" ht="12.75" x14ac:dyDescent="0.2">
      <c r="A22" s="48">
        <v>16</v>
      </c>
      <c r="B22" s="36" t="str">
        <f ca="1">IFERROR(__xludf.DUMMYFUNCTION("""COMPUTED_VALUE"""),"Бондаренко Вероника Александровна")</f>
        <v>Бондаренко Вероника Александровна</v>
      </c>
      <c r="C22" s="36"/>
      <c r="D22" s="4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2" s="48">
        <f ca="1">IFERROR(__xludf.DUMMYFUNCTION("""COMPUTED_VALUE"""),9)</f>
        <v>9</v>
      </c>
      <c r="F22" s="36" t="str">
        <f ca="1">IFERROR(__xludf.DUMMYFUNCTION("""COMPUTED_VALUE"""),"Новинкина Светлана Габдулловна")</f>
        <v>Новинкина Светлана Габдулловна</v>
      </c>
      <c r="G22" s="48">
        <f ca="1">IFERROR(__xludf.DUMMYFUNCTION("""COMPUTED_VALUE"""),6)</f>
        <v>6</v>
      </c>
      <c r="H22" s="48">
        <f ca="1">IFERROR(__xludf.DUMMYFUNCTION("""COMPUTED_VALUE"""),14)</f>
        <v>14</v>
      </c>
      <c r="I22" s="48">
        <f ca="1">IFERROR(__xludf.DUMMYFUNCTION("""COMPUTED_VALUE"""),5)</f>
        <v>5</v>
      </c>
      <c r="J22" s="48"/>
      <c r="K22" s="47">
        <f t="shared" ca="1" si="0"/>
        <v>25</v>
      </c>
      <c r="L22" s="38"/>
      <c r="M22" s="69">
        <f t="shared" ca="1" si="1"/>
        <v>25</v>
      </c>
      <c r="N22" s="47">
        <v>16</v>
      </c>
      <c r="O22" s="48" t="s">
        <v>83</v>
      </c>
      <c r="P22" s="47" t="s">
        <v>109</v>
      </c>
    </row>
    <row r="23" spans="1:17" ht="12.75" x14ac:dyDescent="0.2">
      <c r="A23" s="47">
        <v>17</v>
      </c>
      <c r="B23" s="39" t="str">
        <f ca="1">IFERROR(__xludf.DUMMYFUNCTION("IMPORTRANGE(""https://docs.google.com/spreadsheets/d/16CWr8ky6L0i1S4UOLMYHizeHS6aZnIDEnQPyRJyTpcI/edit#gid=0"", ""МЭЛ!B23:O27"")"),"Абраменко Дарья Константиновна")</f>
        <v>Абраменко Дарья Константиновна</v>
      </c>
      <c r="C23" s="36"/>
      <c r="D23" s="40" t="str">
        <f ca="1">IFERROR(__xludf.DUMMYFUNCTION("""COMPUTED_VALUE"""),"МОУ ""МЭЛ им. Шнитке А.Г.""")</f>
        <v>МОУ "МЭЛ им. Шнитке А.Г."</v>
      </c>
      <c r="E23" s="48">
        <f ca="1">IFERROR(__xludf.DUMMYFUNCTION("""COMPUTED_VALUE"""),9)</f>
        <v>9</v>
      </c>
      <c r="F23" s="36" t="str">
        <f ca="1">IFERROR(__xludf.DUMMYFUNCTION("""COMPUTED_VALUE"""),"Мотавкина Светлана Сергеевна")</f>
        <v>Мотавкина Светлана Сергеевна</v>
      </c>
      <c r="G23" s="48">
        <f ca="1">IFERROR(__xludf.DUMMYFUNCTION("""COMPUTED_VALUE"""),6)</f>
        <v>6</v>
      </c>
      <c r="H23" s="48">
        <f ca="1">IFERROR(__xludf.DUMMYFUNCTION("""COMPUTED_VALUE"""),14)</f>
        <v>14</v>
      </c>
      <c r="I23" s="48">
        <f ca="1">IFERROR(__xludf.DUMMYFUNCTION("""COMPUTED_VALUE"""),5)</f>
        <v>5</v>
      </c>
      <c r="J23" s="48"/>
      <c r="K23" s="47">
        <f t="shared" ca="1" si="0"/>
        <v>25</v>
      </c>
      <c r="L23" s="38"/>
      <c r="M23" s="69">
        <f t="shared" ca="1" si="1"/>
        <v>25</v>
      </c>
      <c r="N23" s="48">
        <v>17</v>
      </c>
      <c r="O23" s="48" t="s">
        <v>83</v>
      </c>
      <c r="P23" s="47" t="s">
        <v>109</v>
      </c>
    </row>
    <row r="24" spans="1:17" ht="12.75" x14ac:dyDescent="0.2">
      <c r="A24" s="48">
        <v>18</v>
      </c>
      <c r="B24" s="37" t="str">
        <f ca="1">IFERROR(__xludf.DUMMYFUNCTION("""COMPUTED_VALUE"""),"Хайрулина Амина Азаматовна")</f>
        <v>Хайрулина Амина Азаматовна</v>
      </c>
      <c r="C24" s="37"/>
      <c r="D24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4" s="47">
        <f ca="1">IFERROR(__xludf.DUMMYFUNCTION("""COMPUTED_VALUE"""),9)</f>
        <v>9</v>
      </c>
      <c r="F24" s="37" t="str">
        <f ca="1">IFERROR(__xludf.DUMMYFUNCTION("""COMPUTED_VALUE"""),"Новинкина Светлана Габдулловна")</f>
        <v>Новинкина Светлана Габдулловна</v>
      </c>
      <c r="G24" s="47">
        <f ca="1">IFERROR(__xludf.DUMMYFUNCTION("""COMPUTED_VALUE"""),6)</f>
        <v>6</v>
      </c>
      <c r="H24" s="47">
        <f ca="1">IFERROR(__xludf.DUMMYFUNCTION("""COMPUTED_VALUE"""),14)</f>
        <v>14</v>
      </c>
      <c r="I24" s="47">
        <f ca="1">IFERROR(__xludf.DUMMYFUNCTION("""COMPUTED_VALUE"""),5)</f>
        <v>5</v>
      </c>
      <c r="J24" s="47"/>
      <c r="K24" s="47">
        <f t="shared" ca="1" si="0"/>
        <v>25</v>
      </c>
      <c r="L24" s="38"/>
      <c r="M24" s="69">
        <f t="shared" ca="1" si="1"/>
        <v>25</v>
      </c>
      <c r="N24" s="48">
        <v>18</v>
      </c>
      <c r="O24" s="48" t="s">
        <v>83</v>
      </c>
      <c r="P24" s="47" t="s">
        <v>109</v>
      </c>
    </row>
    <row r="25" spans="1:17" ht="12.75" x14ac:dyDescent="0.2">
      <c r="A25" s="48">
        <v>19</v>
      </c>
      <c r="B25" s="37" t="str">
        <f ca="1">IFERROR(__xludf.DUMMYFUNCTION("""COMPUTED_VALUE"""),"Данилов Никита Сергеевич")</f>
        <v>Данилов Никита Сергеевич</v>
      </c>
      <c r="C25" s="37"/>
      <c r="D25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5" s="47">
        <f ca="1">IFERROR(__xludf.DUMMYFUNCTION("""COMPUTED_VALUE"""),9)</f>
        <v>9</v>
      </c>
      <c r="F25" s="37" t="str">
        <f ca="1">IFERROR(__xludf.DUMMYFUNCTION("""COMPUTED_VALUE"""),"Новинкина Светлана Габдулловна")</f>
        <v>Новинкина Светлана Габдулловна</v>
      </c>
      <c r="G25" s="47">
        <f ca="1">IFERROR(__xludf.DUMMYFUNCTION("""COMPUTED_VALUE"""),4)</f>
        <v>4</v>
      </c>
      <c r="H25" s="47">
        <f ca="1">IFERROR(__xludf.DUMMYFUNCTION("""COMPUTED_VALUE"""),17)</f>
        <v>17</v>
      </c>
      <c r="I25" s="47">
        <f ca="1">IFERROR(__xludf.DUMMYFUNCTION("""COMPUTED_VALUE"""),4)</f>
        <v>4</v>
      </c>
      <c r="J25" s="47"/>
      <c r="K25" s="47">
        <f t="shared" ca="1" si="0"/>
        <v>25</v>
      </c>
      <c r="L25" s="38"/>
      <c r="M25" s="69">
        <f t="shared" ca="1" si="1"/>
        <v>25</v>
      </c>
      <c r="N25" s="47">
        <v>19</v>
      </c>
      <c r="O25" s="48" t="s">
        <v>83</v>
      </c>
      <c r="P25" s="47" t="s">
        <v>109</v>
      </c>
    </row>
    <row r="26" spans="1:17" ht="12.75" x14ac:dyDescent="0.2">
      <c r="A26" s="48">
        <v>20</v>
      </c>
      <c r="B26" s="36" t="str">
        <f ca="1">IFERROR(__xludf.DUMMYFUNCTION("""COMPUTED_VALUE"""),"Данилов Иван Александрович")</f>
        <v>Данилов Иван Александрович</v>
      </c>
      <c r="C26" s="36"/>
      <c r="D26" s="40" t="str">
        <f ca="1">IFERROR(__xludf.DUMMYFUNCTION("""COMPUTED_VALUE"""),"Гимназия 8")</f>
        <v>Гимназия 8</v>
      </c>
      <c r="E26" s="48">
        <f ca="1">IFERROR(__xludf.DUMMYFUNCTION("""COMPUTED_VALUE"""),9)</f>
        <v>9</v>
      </c>
      <c r="F26" s="36" t="str">
        <f ca="1">IFERROR(__xludf.DUMMYFUNCTION("""COMPUTED_VALUE"""),"Камилова Ольга Александровна")</f>
        <v>Камилова Ольга Александровна</v>
      </c>
      <c r="G26" s="48">
        <f ca="1">IFERROR(__xludf.DUMMYFUNCTION("""COMPUTED_VALUE"""),4)</f>
        <v>4</v>
      </c>
      <c r="H26" s="48">
        <f ca="1">IFERROR(__xludf.DUMMYFUNCTION("""COMPUTED_VALUE"""),13)</f>
        <v>13</v>
      </c>
      <c r="I26" s="48">
        <f ca="1">IFERROR(__xludf.DUMMYFUNCTION("""COMPUTED_VALUE"""),7)</f>
        <v>7</v>
      </c>
      <c r="J26" s="48"/>
      <c r="K26" s="47">
        <f t="shared" ca="1" si="0"/>
        <v>24</v>
      </c>
      <c r="L26" s="38"/>
      <c r="M26" s="69">
        <f t="shared" ca="1" si="1"/>
        <v>24</v>
      </c>
      <c r="N26" s="48">
        <v>20</v>
      </c>
      <c r="O26" s="48" t="s">
        <v>83</v>
      </c>
      <c r="P26" s="47" t="s">
        <v>109</v>
      </c>
    </row>
    <row r="27" spans="1:17" ht="12.75" x14ac:dyDescent="0.2">
      <c r="A27" s="47">
        <v>21</v>
      </c>
      <c r="B27" s="36" t="str">
        <f ca="1">IFERROR(__xludf.DUMMYFUNCTION("""COMPUTED_VALUE"""),"Калабугин Максим Андреевич")</f>
        <v>Калабугин Максим Андреевич</v>
      </c>
      <c r="C27" s="36"/>
      <c r="D27" s="40" t="str">
        <f ca="1">IFERROR(__xludf.DUMMYFUNCTION("""COMPUTED_VALUE"""),"МОУ ""ООШ№10""")</f>
        <v>МОУ "ООШ№10"</v>
      </c>
      <c r="E27" s="48">
        <f ca="1">IFERROR(__xludf.DUMMYFUNCTION("""COMPUTED_VALUE"""),9)</f>
        <v>9</v>
      </c>
      <c r="F27" s="36" t="str">
        <f ca="1">IFERROR(__xludf.DUMMYFUNCTION("""COMPUTED_VALUE"""),"Бузюрова Оксана Васильевна")</f>
        <v>Бузюрова Оксана Васильевна</v>
      </c>
      <c r="G27" s="48">
        <f ca="1">IFERROR(__xludf.DUMMYFUNCTION("""COMPUTED_VALUE"""),9)</f>
        <v>9</v>
      </c>
      <c r="H27" s="48">
        <f ca="1">IFERROR(__xludf.DUMMYFUNCTION("""COMPUTED_VALUE"""),14)</f>
        <v>14</v>
      </c>
      <c r="I27" s="48">
        <f ca="1">IFERROR(__xludf.DUMMYFUNCTION("""COMPUTED_VALUE"""),1)</f>
        <v>1</v>
      </c>
      <c r="J27" s="48"/>
      <c r="K27" s="47">
        <f t="shared" ca="1" si="0"/>
        <v>24</v>
      </c>
      <c r="L27" s="38"/>
      <c r="M27" s="69">
        <f t="shared" ca="1" si="1"/>
        <v>24</v>
      </c>
      <c r="N27" s="48">
        <v>21</v>
      </c>
      <c r="O27" s="48" t="s">
        <v>83</v>
      </c>
      <c r="P27" s="47" t="s">
        <v>109</v>
      </c>
    </row>
    <row r="28" spans="1:17" ht="12.75" x14ac:dyDescent="0.2">
      <c r="A28" s="48">
        <v>22</v>
      </c>
      <c r="B28" s="36" t="str">
        <f ca="1">IFERROR(__xludf.DUMMYFUNCTION("""COMPUTED_VALUE"""),"Пузина Анна Алексеевна")</f>
        <v>Пузина Анна Алексеевна</v>
      </c>
      <c r="C28" s="36"/>
      <c r="D28" s="40" t="str">
        <f ca="1">IFERROR(__xludf.DUMMYFUNCTION("""COMPUTED_VALUE"""),"МОУ ""СОШ №24""")</f>
        <v>МОУ "СОШ №24"</v>
      </c>
      <c r="E28" s="48">
        <f ca="1">IFERROR(__xludf.DUMMYFUNCTION("""COMPUTED_VALUE"""),9)</f>
        <v>9</v>
      </c>
      <c r="F28" s="36" t="str">
        <f ca="1">IFERROR(__xludf.DUMMYFUNCTION("""COMPUTED_VALUE"""),"Моисеева Татьяна Владимировна")</f>
        <v>Моисеева Татьяна Владимировна</v>
      </c>
      <c r="G28" s="48">
        <f ca="1">IFERROR(__xludf.DUMMYFUNCTION("""COMPUTED_VALUE"""),7)</f>
        <v>7</v>
      </c>
      <c r="H28" s="48">
        <f ca="1">IFERROR(__xludf.DUMMYFUNCTION("""COMPUTED_VALUE"""),13)</f>
        <v>13</v>
      </c>
      <c r="I28" s="48">
        <f ca="1">IFERROR(__xludf.DUMMYFUNCTION("""COMPUTED_VALUE"""),4)</f>
        <v>4</v>
      </c>
      <c r="J28" s="48"/>
      <c r="K28" s="47">
        <f t="shared" ca="1" si="0"/>
        <v>24</v>
      </c>
      <c r="L28" s="38"/>
      <c r="M28" s="69">
        <f t="shared" ca="1" si="1"/>
        <v>24</v>
      </c>
      <c r="N28" s="47">
        <v>22</v>
      </c>
      <c r="O28" s="48" t="s">
        <v>83</v>
      </c>
      <c r="P28" s="47" t="s">
        <v>109</v>
      </c>
    </row>
    <row r="29" spans="1:17" ht="12.75" x14ac:dyDescent="0.2">
      <c r="A29" s="48">
        <v>23</v>
      </c>
      <c r="B29" s="36" t="str">
        <f ca="1">IFERROR(__xludf.DUMMYFUNCTION("IMPORTRANGE(""https://docs.google.com/spreadsheets/d/16CWr8ky6L0i1S4UOLMYHizeHS6aZnIDEnQPyRJyTpcI/edit#gid=0"", ""СОШ №33!B23:O27"")"),"Орлова Алена Алексеевна")</f>
        <v>Орлова Алена Алексеевна</v>
      </c>
      <c r="C29" s="36"/>
      <c r="D29" s="40" t="str">
        <f ca="1">IFERROR(__xludf.DUMMYFUNCTION("""COMPUTED_VALUE"""),"МОУ ""СОШ №33""")</f>
        <v>МОУ "СОШ №33"</v>
      </c>
      <c r="E29" s="48">
        <f ca="1">IFERROR(__xludf.DUMMYFUNCTION("""COMPUTED_VALUE"""),9)</f>
        <v>9</v>
      </c>
      <c r="F29" s="36" t="str">
        <f ca="1">IFERROR(__xludf.DUMMYFUNCTION("""COMPUTED_VALUE"""),"Власова Татьяна Станиславовна")</f>
        <v>Власова Татьяна Станиславовна</v>
      </c>
      <c r="G29" s="48">
        <f ca="1">IFERROR(__xludf.DUMMYFUNCTION("""COMPUTED_VALUE"""),6)</f>
        <v>6</v>
      </c>
      <c r="H29" s="48">
        <f ca="1">IFERROR(__xludf.DUMMYFUNCTION("""COMPUTED_VALUE"""),15)</f>
        <v>15</v>
      </c>
      <c r="I29" s="48">
        <f ca="1">IFERROR(__xludf.DUMMYFUNCTION("""COMPUTED_VALUE"""),3)</f>
        <v>3</v>
      </c>
      <c r="J29" s="48"/>
      <c r="K29" s="47">
        <f t="shared" ca="1" si="0"/>
        <v>24</v>
      </c>
      <c r="L29" s="38"/>
      <c r="M29" s="69">
        <f t="shared" ca="1" si="1"/>
        <v>24</v>
      </c>
      <c r="N29" s="48">
        <v>23</v>
      </c>
      <c r="O29" s="48" t="s">
        <v>83</v>
      </c>
      <c r="P29" s="47" t="s">
        <v>109</v>
      </c>
    </row>
    <row r="30" spans="1:17" ht="12.75" x14ac:dyDescent="0.2">
      <c r="A30" s="48">
        <v>24</v>
      </c>
      <c r="B30" s="36" t="str">
        <f ca="1">IFERROR(__xludf.DUMMYFUNCTION("""COMPUTED_VALUE"""),"Гусева Елизавета Дмитриевна")</f>
        <v>Гусева Елизавета Дмитриевна</v>
      </c>
      <c r="C30" s="36"/>
      <c r="D30" s="40" t="str">
        <f ca="1">IFERROR(__xludf.DUMMYFUNCTION("""COMPUTED_VALUE"""),"МОУ ""СОШ №33""")</f>
        <v>МОУ "СОШ №33"</v>
      </c>
      <c r="E30" s="48">
        <f ca="1">IFERROR(__xludf.DUMMYFUNCTION("""COMPUTED_VALUE"""),9)</f>
        <v>9</v>
      </c>
      <c r="F30" s="36" t="str">
        <f ca="1">IFERROR(__xludf.DUMMYFUNCTION("""COMPUTED_VALUE"""),"Сибряева Надежда Васильевна")</f>
        <v>Сибряева Надежда Васильевна</v>
      </c>
      <c r="G30" s="48">
        <f ca="1">IFERROR(__xludf.DUMMYFUNCTION("""COMPUTED_VALUE"""),6)</f>
        <v>6</v>
      </c>
      <c r="H30" s="48">
        <f ca="1">IFERROR(__xludf.DUMMYFUNCTION("""COMPUTED_VALUE"""),15)</f>
        <v>15</v>
      </c>
      <c r="I30" s="48">
        <f ca="1">IFERROR(__xludf.DUMMYFUNCTION("""COMPUTED_VALUE"""),3)</f>
        <v>3</v>
      </c>
      <c r="J30" s="48"/>
      <c r="K30" s="47">
        <f t="shared" ca="1" si="0"/>
        <v>24</v>
      </c>
      <c r="L30" s="38"/>
      <c r="M30" s="69">
        <f t="shared" ca="1" si="1"/>
        <v>24</v>
      </c>
      <c r="N30" s="48">
        <v>24</v>
      </c>
      <c r="O30" s="48" t="s">
        <v>83</v>
      </c>
      <c r="P30" s="47" t="s">
        <v>109</v>
      </c>
    </row>
    <row r="31" spans="1:17" ht="12.75" x14ac:dyDescent="0.2">
      <c r="A31" s="47">
        <v>25</v>
      </c>
      <c r="B31" s="36" t="str">
        <f ca="1">IFERROR(__xludf.DUMMYFUNCTION("""COMPUTED_VALUE"""),"Горелова Виктория Игоревна")</f>
        <v>Горелова Виктория Игоревна</v>
      </c>
      <c r="C31" s="36"/>
      <c r="D31" s="40" t="str">
        <f ca="1">IFERROR(__xludf.DUMMYFUNCTION("""COMPUTED_VALUE"""),"МОУ ""МЭЛ им. Шнитке А.Г.""")</f>
        <v>МОУ "МЭЛ им. Шнитке А.Г."</v>
      </c>
      <c r="E31" s="48">
        <f ca="1">IFERROR(__xludf.DUMMYFUNCTION("""COMPUTED_VALUE"""),9)</f>
        <v>9</v>
      </c>
      <c r="F31" s="36" t="str">
        <f ca="1">IFERROR(__xludf.DUMMYFUNCTION("""COMPUTED_VALUE"""),"Мотавкина Светлана Сергеевна")</f>
        <v>Мотавкина Светлана Сергеевна</v>
      </c>
      <c r="G31" s="48">
        <f ca="1">IFERROR(__xludf.DUMMYFUNCTION("""COMPUTED_VALUE"""),6)</f>
        <v>6</v>
      </c>
      <c r="H31" s="48">
        <f ca="1">IFERROR(__xludf.DUMMYFUNCTION("""COMPUTED_VALUE"""),12)</f>
        <v>12</v>
      </c>
      <c r="I31" s="48">
        <f ca="1">IFERROR(__xludf.DUMMYFUNCTION("""COMPUTED_VALUE"""),6)</f>
        <v>6</v>
      </c>
      <c r="J31" s="48"/>
      <c r="K31" s="47">
        <f t="shared" ca="1" si="0"/>
        <v>24</v>
      </c>
      <c r="L31" s="38"/>
      <c r="M31" s="69">
        <f t="shared" ca="1" si="1"/>
        <v>24</v>
      </c>
      <c r="N31" s="47">
        <v>25</v>
      </c>
      <c r="O31" s="48" t="s">
        <v>83</v>
      </c>
      <c r="P31" s="47" t="s">
        <v>109</v>
      </c>
    </row>
    <row r="32" spans="1:17" ht="12.75" x14ac:dyDescent="0.2">
      <c r="A32" s="48">
        <v>26</v>
      </c>
      <c r="B32" s="37" t="str">
        <f ca="1">IFERROR(__xludf.DUMMYFUNCTION("""COMPUTED_VALUE"""),"Ким Владимир Дмитриевич")</f>
        <v>Ким Владимир Дмитриевич</v>
      </c>
      <c r="C32" s="37"/>
      <c r="D32" s="41" t="str">
        <f ca="1">IFERROR(__xludf.DUMMYFUNCTION("""COMPUTED_VALUE"""),"МАОУ ""ООШ с. Степное""")</f>
        <v>МАОУ "ООШ с. Степное"</v>
      </c>
      <c r="E32" s="47">
        <f ca="1">IFERROR(__xludf.DUMMYFUNCTION("""COMPUTED_VALUE"""),9)</f>
        <v>9</v>
      </c>
      <c r="F32" s="37" t="str">
        <f ca="1">IFERROR(__xludf.DUMMYFUNCTION("""COMPUTED_VALUE"""),"Макарова Зухра Амирджановна")</f>
        <v>Макарова Зухра Амирджановна</v>
      </c>
      <c r="G32" s="47">
        <f ca="1">IFERROR(__xludf.DUMMYFUNCTION("""COMPUTED_VALUE"""),5)</f>
        <v>5</v>
      </c>
      <c r="H32" s="47">
        <f ca="1">IFERROR(__xludf.DUMMYFUNCTION("""COMPUTED_VALUE"""),17)</f>
        <v>17</v>
      </c>
      <c r="I32" s="47">
        <f ca="1">IFERROR(__xludf.DUMMYFUNCTION("""COMPUTED_VALUE"""),2)</f>
        <v>2</v>
      </c>
      <c r="J32" s="47"/>
      <c r="K32" s="47">
        <f t="shared" ca="1" si="0"/>
        <v>24</v>
      </c>
      <c r="L32" s="36"/>
      <c r="M32" s="69">
        <f t="shared" ca="1" si="1"/>
        <v>24</v>
      </c>
      <c r="N32" s="48">
        <v>26</v>
      </c>
      <c r="O32" s="48" t="s">
        <v>83</v>
      </c>
      <c r="P32" s="47" t="s">
        <v>109</v>
      </c>
    </row>
    <row r="33" spans="1:16" ht="12.75" x14ac:dyDescent="0.2">
      <c r="A33" s="48">
        <v>27</v>
      </c>
      <c r="B33" s="39" t="str">
        <f ca="1">IFERROR(__xludf.DUMMYFUNCTION("IMPORTRANGE(""https://docs.google.com/spreadsheets/d/16CWr8ky6L0i1S4UOLMYHizeHS6aZnIDEnQPyRJyTpcI/edit#gid=0"", ""СОШ п. Новопушкинское!B23:O27"")"),"Бабаджанова Сафина Анваровна")</f>
        <v>Бабаджанова Сафина Анваровна</v>
      </c>
      <c r="C33" s="37"/>
      <c r="D33" s="41" t="str">
        <f ca="1">IFERROR(__xludf.DUMMYFUNCTION("""COMPUTED_VALUE"""),"МОУ ""СОШ п. Новопушкинское""")</f>
        <v>МОУ "СОШ п. Новопушкинское"</v>
      </c>
      <c r="E33" s="47">
        <f ca="1">IFERROR(__xludf.DUMMYFUNCTION("""COMPUTED_VALUE"""),9)</f>
        <v>9</v>
      </c>
      <c r="F33" s="37" t="str">
        <f ca="1">IFERROR(__xludf.DUMMYFUNCTION("""COMPUTED_VALUE"""),"Юшенова Лариса Николаевна")</f>
        <v>Юшенова Лариса Николаевна</v>
      </c>
      <c r="G33" s="47">
        <f ca="1">IFERROR(__xludf.DUMMYFUNCTION("""COMPUTED_VALUE"""),6)</f>
        <v>6</v>
      </c>
      <c r="H33" s="47">
        <f ca="1">IFERROR(__xludf.DUMMYFUNCTION("""COMPUTED_VALUE"""),14)</f>
        <v>14</v>
      </c>
      <c r="I33" s="47">
        <f ca="1">IFERROR(__xludf.DUMMYFUNCTION("""COMPUTED_VALUE"""),3.5)</f>
        <v>3.5</v>
      </c>
      <c r="J33" s="47"/>
      <c r="K33" s="47">
        <f t="shared" ca="1" si="0"/>
        <v>23.5</v>
      </c>
      <c r="L33" s="38"/>
      <c r="M33" s="69">
        <f t="shared" ca="1" si="1"/>
        <v>23.5</v>
      </c>
      <c r="N33" s="48">
        <v>27</v>
      </c>
      <c r="O33" s="48" t="s">
        <v>83</v>
      </c>
      <c r="P33" s="48"/>
    </row>
    <row r="34" spans="1:16" ht="12.75" x14ac:dyDescent="0.2">
      <c r="A34" s="48">
        <v>28</v>
      </c>
      <c r="B34" s="36" t="str">
        <f ca="1">IFERROR(__xludf.DUMMYFUNCTION("IMPORTRANGE(""https://docs.google.com/spreadsheets/d/16CWr8ky6L0i1S4UOLMYHizeHS6aZnIDEnQPyRJyTpcI/edit#gid=0"", ""Обр.центр!B23:O27"")"),"Сальникова Ульяна Сергеевна")</f>
        <v>Сальникова Ульяна Сергеевна</v>
      </c>
      <c r="C34" s="36"/>
      <c r="D34" s="40" t="str">
        <f ca="1">IFERROR(__xludf.DUMMYFUNCTION("""COMPUTED_VALUE"""),"Образовательный центр")</f>
        <v>Образовательный центр</v>
      </c>
      <c r="E34" s="48">
        <f ca="1">IFERROR(__xludf.DUMMYFUNCTION("""COMPUTED_VALUE"""),9)</f>
        <v>9</v>
      </c>
      <c r="F34" s="36" t="str">
        <f ca="1">IFERROR(__xludf.DUMMYFUNCTION("""COMPUTED_VALUE"""),"Газданова Валентина Владимировна")</f>
        <v>Газданова Валентина Владимировна</v>
      </c>
      <c r="G34" s="48">
        <f ca="1">IFERROR(__xludf.DUMMYFUNCTION("""COMPUTED_VALUE"""),8)</f>
        <v>8</v>
      </c>
      <c r="H34" s="48">
        <f ca="1">IFERROR(__xludf.DUMMYFUNCTION("""COMPUTED_VALUE"""),11)</f>
        <v>11</v>
      </c>
      <c r="I34" s="48">
        <f ca="1">IFERROR(__xludf.DUMMYFUNCTION("""COMPUTED_VALUE"""),4)</f>
        <v>4</v>
      </c>
      <c r="J34" s="48"/>
      <c r="K34" s="47">
        <f t="shared" ca="1" si="0"/>
        <v>23</v>
      </c>
      <c r="L34" s="38"/>
      <c r="M34" s="69">
        <f t="shared" ca="1" si="1"/>
        <v>23</v>
      </c>
      <c r="N34" s="47">
        <v>28</v>
      </c>
      <c r="O34" s="48" t="s">
        <v>83</v>
      </c>
      <c r="P34" s="48"/>
    </row>
    <row r="35" spans="1:16" ht="12.75" x14ac:dyDescent="0.2">
      <c r="A35" s="47">
        <v>29</v>
      </c>
      <c r="B35" s="36" t="str">
        <f ca="1">IFERROR(__xludf.DUMMYFUNCTION("IMPORTRANGE(""https://docs.google.com/spreadsheets/d/16CWr8ky6L0i1S4UOLMYHizeHS6aZnIDEnQPyRJyTpcI/edit#gid=0"", ""СОШ №31!B23:O27"")"),"Рубан Максим Алексеевич")</f>
        <v>Рубан Максим Алексеевич</v>
      </c>
      <c r="C35" s="36"/>
      <c r="D35" s="40" t="str">
        <f ca="1">IFERROR(__xludf.DUMMYFUNCTION("""COMPUTED_VALUE"""),"МОУ ""СОШ №31""")</f>
        <v>МОУ "СОШ №31"</v>
      </c>
      <c r="E35" s="48">
        <f ca="1">IFERROR(__xludf.DUMMYFUNCTION("""COMPUTED_VALUE"""),9)</f>
        <v>9</v>
      </c>
      <c r="F35" s="36" t="str">
        <f ca="1">IFERROR(__xludf.DUMMYFUNCTION("""COMPUTED_VALUE"""),"Котлярова Евгения Владимировна")</f>
        <v>Котлярова Евгения Владимировна</v>
      </c>
      <c r="G35" s="48">
        <f ca="1">IFERROR(__xludf.DUMMYFUNCTION("""COMPUTED_VALUE"""),7)</f>
        <v>7</v>
      </c>
      <c r="H35" s="48">
        <v>12</v>
      </c>
      <c r="I35" s="48">
        <v>4</v>
      </c>
      <c r="J35" s="48"/>
      <c r="K35" s="47">
        <f t="shared" ca="1" si="0"/>
        <v>23</v>
      </c>
      <c r="L35" s="36"/>
      <c r="M35" s="69">
        <f t="shared" ca="1" si="1"/>
        <v>23</v>
      </c>
      <c r="N35" s="48">
        <v>29</v>
      </c>
      <c r="O35" s="48" t="s">
        <v>83</v>
      </c>
      <c r="P35" s="48"/>
    </row>
    <row r="36" spans="1:16" ht="12.75" x14ac:dyDescent="0.2">
      <c r="A36" s="48">
        <v>30</v>
      </c>
      <c r="B36" s="36" t="str">
        <f ca="1">IFERROR(__xludf.DUMMYFUNCTION("""COMPUTED_VALUE"""),"Слаутенко Ангелина Владимировна")</f>
        <v>Слаутенко Ангелина Владимировна</v>
      </c>
      <c r="C36" s="36"/>
      <c r="D36" s="40" t="str">
        <f ca="1">IFERROR(__xludf.DUMMYFUNCTION("""COMPUTED_VALUE"""),"МОУ ""СОШ №33""")</f>
        <v>МОУ "СОШ №33"</v>
      </c>
      <c r="E36" s="48">
        <f ca="1">IFERROR(__xludf.DUMMYFUNCTION("""COMPUTED_VALUE"""),9)</f>
        <v>9</v>
      </c>
      <c r="F36" s="36" t="str">
        <f ca="1">IFERROR(__xludf.DUMMYFUNCTION("""COMPUTED_VALUE"""),"Власова Татьяна Станиславовна")</f>
        <v>Власова Татьяна Станиславовна</v>
      </c>
      <c r="G36" s="48">
        <f ca="1">IFERROR(__xludf.DUMMYFUNCTION("""COMPUTED_VALUE"""),6)</f>
        <v>6</v>
      </c>
      <c r="H36" s="48">
        <f ca="1">IFERROR(__xludf.DUMMYFUNCTION("""COMPUTED_VALUE"""),13)</f>
        <v>13</v>
      </c>
      <c r="I36" s="48">
        <f ca="1">IFERROR(__xludf.DUMMYFUNCTION("""COMPUTED_VALUE"""),4)</f>
        <v>4</v>
      </c>
      <c r="J36" s="48"/>
      <c r="K36" s="47">
        <f t="shared" ca="1" si="0"/>
        <v>23</v>
      </c>
      <c r="L36" s="38"/>
      <c r="M36" s="69">
        <f t="shared" ca="1" si="1"/>
        <v>23</v>
      </c>
      <c r="N36" s="48">
        <v>30</v>
      </c>
      <c r="O36" s="48" t="s">
        <v>83</v>
      </c>
      <c r="P36" s="48"/>
    </row>
    <row r="37" spans="1:16" ht="12.75" x14ac:dyDescent="0.2">
      <c r="A37" s="48">
        <v>31</v>
      </c>
      <c r="B37" s="39" t="str">
        <f ca="1">IFERROR(__xludf.DUMMYFUNCTION("IMPORTRANGE(""https://docs.google.com/spreadsheets/d/16CWr8ky6L0i1S4UOLMYHizeHS6aZnIDEnQPyRJyTpcI/edit#gid=0"", ""СОШ п. Придорожный!B23:O27"")"),"Жакаув Аделина Исмухамбетовна")</f>
        <v>Жакаув Аделина Исмухамбетовна</v>
      </c>
      <c r="C37" s="37"/>
      <c r="D37" s="41" t="str">
        <f ca="1">IFERROR(__xludf.DUMMYFUNCTION("""COMPUTED_VALUE"""),"МОУ ""СОШ п. Придорожный""")</f>
        <v>МОУ "СОШ п. Придорожный"</v>
      </c>
      <c r="E37" s="47">
        <f ca="1">IFERROR(__xludf.DUMMYFUNCTION("""COMPUTED_VALUE"""),9)</f>
        <v>9</v>
      </c>
      <c r="F37" s="37" t="str">
        <f ca="1">IFERROR(__xludf.DUMMYFUNCTION("""COMPUTED_VALUE"""),"Костыря Елена Николаевна")</f>
        <v>Костыря Елена Николаевна</v>
      </c>
      <c r="G37" s="47">
        <f ca="1">IFERROR(__xludf.DUMMYFUNCTION("""COMPUTED_VALUE"""),6)</f>
        <v>6</v>
      </c>
      <c r="H37" s="47">
        <v>14</v>
      </c>
      <c r="I37" s="47">
        <v>3</v>
      </c>
      <c r="J37" s="47"/>
      <c r="K37" s="47">
        <f t="shared" ca="1" si="0"/>
        <v>23</v>
      </c>
      <c r="L37" s="36"/>
      <c r="M37" s="69">
        <f t="shared" ca="1" si="1"/>
        <v>23</v>
      </c>
      <c r="N37" s="47">
        <v>31</v>
      </c>
      <c r="O37" s="48" t="s">
        <v>83</v>
      </c>
      <c r="P37" s="48"/>
    </row>
    <row r="38" spans="1:16" ht="12.75" x14ac:dyDescent="0.2">
      <c r="A38" s="48">
        <v>32</v>
      </c>
      <c r="B38" s="37" t="str">
        <f ca="1">IFERROR(__xludf.DUMMYFUNCTION("""COMPUTED_VALUE"""),"Быков Кирилл Сергеевич")</f>
        <v>Быков Кирилл Сергеевич</v>
      </c>
      <c r="C38" s="37"/>
      <c r="D38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8" s="47">
        <f ca="1">IFERROR(__xludf.DUMMYFUNCTION("""COMPUTED_VALUE"""),9)</f>
        <v>9</v>
      </c>
      <c r="F38" s="37" t="str">
        <f ca="1">IFERROR(__xludf.DUMMYFUNCTION("""COMPUTED_VALUE"""),"Новинкина Светлана Габдулловна")</f>
        <v>Новинкина Светлана Габдулловна</v>
      </c>
      <c r="G38" s="47">
        <f ca="1">IFERROR(__xludf.DUMMYFUNCTION("""COMPUTED_VALUE"""),6)</f>
        <v>6</v>
      </c>
      <c r="H38" s="47">
        <f ca="1">IFERROR(__xludf.DUMMYFUNCTION("""COMPUTED_VALUE"""),12)</f>
        <v>12</v>
      </c>
      <c r="I38" s="47">
        <f ca="1">IFERROR(__xludf.DUMMYFUNCTION("""COMPUTED_VALUE"""),5)</f>
        <v>5</v>
      </c>
      <c r="J38" s="47"/>
      <c r="K38" s="47">
        <f t="shared" ca="1" si="0"/>
        <v>23</v>
      </c>
      <c r="L38" s="38"/>
      <c r="M38" s="69">
        <f t="shared" ca="1" si="1"/>
        <v>23</v>
      </c>
      <c r="N38" s="48">
        <v>32</v>
      </c>
      <c r="O38" s="48" t="s">
        <v>83</v>
      </c>
      <c r="P38" s="48"/>
    </row>
    <row r="39" spans="1:16" ht="12.75" x14ac:dyDescent="0.2">
      <c r="A39" s="47">
        <v>33</v>
      </c>
      <c r="B39" s="37" t="str">
        <f ca="1">IFERROR(__xludf.DUMMYFUNCTION("""COMPUTED_VALUE"""),"Смирнов Артем Максимович")</f>
        <v>Смирнов Артем Максимович</v>
      </c>
      <c r="C39" s="37"/>
      <c r="D39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9" s="47">
        <f ca="1">IFERROR(__xludf.DUMMYFUNCTION("""COMPUTED_VALUE"""),9)</f>
        <v>9</v>
      </c>
      <c r="F39" s="37" t="str">
        <f ca="1">IFERROR(__xludf.DUMMYFUNCTION("""COMPUTED_VALUE"""),"Новинкина Светлана Габдулловна")</f>
        <v>Новинкина Светлана Габдулловна</v>
      </c>
      <c r="G39" s="47">
        <f ca="1">IFERROR(__xludf.DUMMYFUNCTION("""COMPUTED_VALUE"""),3)</f>
        <v>3</v>
      </c>
      <c r="H39" s="47">
        <f ca="1">IFERROR(__xludf.DUMMYFUNCTION("""COMPUTED_VALUE"""),15)</f>
        <v>15</v>
      </c>
      <c r="I39" s="47">
        <f ca="1">IFERROR(__xludf.DUMMYFUNCTION("""COMPUTED_VALUE"""),5)</f>
        <v>5</v>
      </c>
      <c r="J39" s="47"/>
      <c r="K39" s="47">
        <f t="shared" ca="1" si="0"/>
        <v>23</v>
      </c>
      <c r="L39" s="38"/>
      <c r="M39" s="69">
        <f t="shared" ca="1" si="1"/>
        <v>23</v>
      </c>
      <c r="N39" s="48">
        <v>33</v>
      </c>
      <c r="O39" s="48" t="s">
        <v>83</v>
      </c>
      <c r="P39" s="48"/>
    </row>
    <row r="40" spans="1:16" ht="12.75" x14ac:dyDescent="0.2">
      <c r="A40" s="48">
        <v>34</v>
      </c>
      <c r="B40" s="36" t="str">
        <f ca="1">IFERROR(__xludf.DUMMYFUNCTION("IMPORTRANGE(""https://docs.google.com/spreadsheets/d/16CWr8ky6L0i1S4UOLMYHizeHS6aZnIDEnQPyRJyTpcI/edit#gid=0"", ""ГИм 8!B23:O27"")"),"Агеев Вадим Дмитриевич")</f>
        <v>Агеев Вадим Дмитриевич</v>
      </c>
      <c r="C40" s="36"/>
      <c r="D40" s="40" t="str">
        <f ca="1">IFERROR(__xludf.DUMMYFUNCTION("""COMPUTED_VALUE"""),"Гимназия 8")</f>
        <v>Гимназия 8</v>
      </c>
      <c r="E40" s="48">
        <f ca="1">IFERROR(__xludf.DUMMYFUNCTION("""COMPUTED_VALUE"""),9)</f>
        <v>9</v>
      </c>
      <c r="F40" s="36" t="str">
        <f ca="1">IFERROR(__xludf.DUMMYFUNCTION("""COMPUTED_VALUE"""),"Камилова Ольга Александровна")</f>
        <v>Камилова Ольга Александровна</v>
      </c>
      <c r="G40" s="48">
        <f ca="1">IFERROR(__xludf.DUMMYFUNCTION("""COMPUTED_VALUE"""),4)</f>
        <v>4</v>
      </c>
      <c r="H40" s="48">
        <f ca="1">IFERROR(__xludf.DUMMYFUNCTION("""COMPUTED_VALUE"""),13)</f>
        <v>13</v>
      </c>
      <c r="I40" s="48">
        <f ca="1">IFERROR(__xludf.DUMMYFUNCTION("""COMPUTED_VALUE"""),5)</f>
        <v>5</v>
      </c>
      <c r="J40" s="48"/>
      <c r="K40" s="47">
        <f t="shared" ca="1" si="0"/>
        <v>22</v>
      </c>
      <c r="L40" s="38"/>
      <c r="M40" s="69">
        <f t="shared" ca="1" si="1"/>
        <v>22</v>
      </c>
      <c r="N40" s="47">
        <v>34</v>
      </c>
      <c r="O40" s="48" t="s">
        <v>83</v>
      </c>
      <c r="P40" s="48"/>
    </row>
    <row r="41" spans="1:16" ht="12.75" x14ac:dyDescent="0.2">
      <c r="A41" s="48">
        <v>35</v>
      </c>
      <c r="B41" s="36" t="str">
        <f ca="1">IFERROR(__xludf.DUMMYFUNCTION("""COMPUTED_VALUE"""),"Хайров Егор Денисович")</f>
        <v>Хайров Егор Денисович</v>
      </c>
      <c r="C41" s="36"/>
      <c r="D41" s="40" t="str">
        <f ca="1">IFERROR(__xludf.DUMMYFUNCTION("""COMPUTED_VALUE"""),"МОУ ""ООШ№10""")</f>
        <v>МОУ "ООШ№10"</v>
      </c>
      <c r="E41" s="48">
        <f ca="1">IFERROR(__xludf.DUMMYFUNCTION("""COMPUTED_VALUE"""),9)</f>
        <v>9</v>
      </c>
      <c r="F41" s="36" t="str">
        <f ca="1">IFERROR(__xludf.DUMMYFUNCTION("""COMPUTED_VALUE"""),"Бузюрова Оксана Васильевна")</f>
        <v>Бузюрова Оксана Васильевна</v>
      </c>
      <c r="G41" s="48">
        <f ca="1">IFERROR(__xludf.DUMMYFUNCTION("""COMPUTED_VALUE"""),6)</f>
        <v>6</v>
      </c>
      <c r="H41" s="48">
        <f ca="1">IFERROR(__xludf.DUMMYFUNCTION("""COMPUTED_VALUE"""),16)</f>
        <v>16</v>
      </c>
      <c r="I41" s="48">
        <f ca="1">IFERROR(__xludf.DUMMYFUNCTION("""COMPUTED_VALUE"""),0)</f>
        <v>0</v>
      </c>
      <c r="J41" s="48"/>
      <c r="K41" s="47">
        <f t="shared" ca="1" si="0"/>
        <v>22</v>
      </c>
      <c r="L41" s="38"/>
      <c r="M41" s="69">
        <f t="shared" ca="1" si="1"/>
        <v>22</v>
      </c>
      <c r="N41" s="48">
        <v>35</v>
      </c>
      <c r="O41" s="48" t="s">
        <v>83</v>
      </c>
      <c r="P41" s="48"/>
    </row>
    <row r="42" spans="1:16" ht="12.75" x14ac:dyDescent="0.2">
      <c r="A42" s="48">
        <v>36</v>
      </c>
      <c r="B42" s="36" t="str">
        <f ca="1">IFERROR(__xludf.DUMMYFUNCTION("""COMPUTED_VALUE"""),"Гарин Егор Дмитриевич")</f>
        <v>Гарин Егор Дмитриевич</v>
      </c>
      <c r="C42" s="36"/>
      <c r="D42" s="40" t="str">
        <f ca="1">IFERROR(__xludf.DUMMYFUNCTION("""COMPUTED_VALUE"""),"МОУ ""СОШ им. Ю.А. Гагарина """)</f>
        <v>МОУ "СОШ им. Ю.А. Гагарина "</v>
      </c>
      <c r="E42" s="48">
        <f ca="1">IFERROR(__xludf.DUMMYFUNCTION("""COMPUTED_VALUE"""),9)</f>
        <v>9</v>
      </c>
      <c r="F42" s="36" t="str">
        <f ca="1">IFERROR(__xludf.DUMMYFUNCTION("""COMPUTED_VALUE"""),"Мищенко Ирина Николаевна")</f>
        <v>Мищенко Ирина Николаевна</v>
      </c>
      <c r="G42" s="48">
        <f ca="1">IFERROR(__xludf.DUMMYFUNCTION("""COMPUTED_VALUE"""),5)</f>
        <v>5</v>
      </c>
      <c r="H42" s="48">
        <f ca="1">IFERROR(__xludf.DUMMYFUNCTION("""COMPUTED_VALUE"""),13)</f>
        <v>13</v>
      </c>
      <c r="I42" s="48">
        <f ca="1">IFERROR(__xludf.DUMMYFUNCTION("""COMPUTED_VALUE"""),4)</f>
        <v>4</v>
      </c>
      <c r="J42" s="48"/>
      <c r="K42" s="47">
        <f t="shared" ca="1" si="0"/>
        <v>22</v>
      </c>
      <c r="L42" s="38"/>
      <c r="M42" s="69">
        <f t="shared" ca="1" si="1"/>
        <v>22</v>
      </c>
      <c r="N42" s="48">
        <v>36</v>
      </c>
      <c r="O42" s="48" t="s">
        <v>83</v>
      </c>
      <c r="P42" s="48"/>
    </row>
    <row r="43" spans="1:16" ht="12.75" x14ac:dyDescent="0.2">
      <c r="A43" s="47">
        <v>37</v>
      </c>
      <c r="B43" s="36" t="str">
        <f ca="1">IFERROR(__xludf.DUMMYFUNCTION("""COMPUTED_VALUE"""),"Коблова Алина Владиславовна")</f>
        <v>Коблова Алина Владиславовна</v>
      </c>
      <c r="C43" s="36"/>
      <c r="D43" s="40" t="str">
        <f ca="1">IFERROR(__xludf.DUMMYFUNCTION("""COMPUTED_VALUE"""),"МОУ ""СОШ им. Ю.А. Гагарина """)</f>
        <v>МОУ "СОШ им. Ю.А. Гагарина "</v>
      </c>
      <c r="E43" s="48">
        <f ca="1">IFERROR(__xludf.DUMMYFUNCTION("""COMPUTED_VALUE"""),9)</f>
        <v>9</v>
      </c>
      <c r="F43" s="36" t="str">
        <f ca="1">IFERROR(__xludf.DUMMYFUNCTION("""COMPUTED_VALUE"""),"Мищенко Ирина Николаевна")</f>
        <v>Мищенко Ирина Николаевна</v>
      </c>
      <c r="G43" s="48">
        <f ca="1">IFERROR(__xludf.DUMMYFUNCTION("""COMPUTED_VALUE"""),6)</f>
        <v>6</v>
      </c>
      <c r="H43" s="48">
        <f ca="1">IFERROR(__xludf.DUMMYFUNCTION("""COMPUTED_VALUE"""),10)</f>
        <v>10</v>
      </c>
      <c r="I43" s="48">
        <f ca="1">IFERROR(__xludf.DUMMYFUNCTION("""COMPUTED_VALUE"""),6)</f>
        <v>6</v>
      </c>
      <c r="J43" s="48"/>
      <c r="K43" s="47">
        <f t="shared" ca="1" si="0"/>
        <v>22</v>
      </c>
      <c r="L43" s="38"/>
      <c r="M43" s="69">
        <f t="shared" ca="1" si="1"/>
        <v>22</v>
      </c>
      <c r="N43" s="47">
        <v>37</v>
      </c>
      <c r="O43" s="48" t="s">
        <v>83</v>
      </c>
      <c r="P43" s="48"/>
    </row>
    <row r="44" spans="1:16" ht="12.75" x14ac:dyDescent="0.2">
      <c r="A44" s="48">
        <v>38</v>
      </c>
      <c r="B44" s="36" t="str">
        <f ca="1">IFERROR(__xludf.DUMMYFUNCTION("""COMPUTED_VALUE"""),"Милованова Вероника Александровна")</f>
        <v>Милованова Вероника Александровна</v>
      </c>
      <c r="C44" s="36"/>
      <c r="D44" s="40" t="str">
        <f ca="1">IFERROR(__xludf.DUMMYFUNCTION("""COMPUTED_VALUE"""),"МОУ ""СОШ №33""")</f>
        <v>МОУ "СОШ №33"</v>
      </c>
      <c r="E44" s="48">
        <f ca="1">IFERROR(__xludf.DUMMYFUNCTION("""COMPUTED_VALUE"""),9)</f>
        <v>9</v>
      </c>
      <c r="F44" s="36" t="str">
        <f ca="1">IFERROR(__xludf.DUMMYFUNCTION("""COMPUTED_VALUE"""),"Сибряева Надежда Васильевна")</f>
        <v>Сибряева Надежда Васильевна</v>
      </c>
      <c r="G44" s="48">
        <f ca="1">IFERROR(__xludf.DUMMYFUNCTION("""COMPUTED_VALUE"""),4)</f>
        <v>4</v>
      </c>
      <c r="H44" s="48">
        <f ca="1">IFERROR(__xludf.DUMMYFUNCTION("""COMPUTED_VALUE"""),14)</f>
        <v>14</v>
      </c>
      <c r="I44" s="48">
        <f ca="1">IFERROR(__xludf.DUMMYFUNCTION("""COMPUTED_VALUE"""),4)</f>
        <v>4</v>
      </c>
      <c r="J44" s="48"/>
      <c r="K44" s="47">
        <f t="shared" ca="1" si="0"/>
        <v>22</v>
      </c>
      <c r="L44" s="38"/>
      <c r="M44" s="69">
        <f t="shared" ca="1" si="1"/>
        <v>22</v>
      </c>
      <c r="N44" s="48">
        <v>38</v>
      </c>
      <c r="O44" s="48" t="s">
        <v>83</v>
      </c>
      <c r="P44" s="48"/>
    </row>
    <row r="45" spans="1:16" ht="12.75" x14ac:dyDescent="0.2">
      <c r="A45" s="48">
        <v>39</v>
      </c>
      <c r="B45" s="39" t="str">
        <f ca="1">IFERROR(__xludf.DUMMYFUNCTION("IMPORTRANGE(""https://docs.google.com/spreadsheets/d/16CWr8ky6L0i1S4UOLMYHizeHS6aZnIDEnQPyRJyTpcI/edit#gid=0"", ""СОШ №4!B40:O41"")"),"Овсянников Вадим Сергеевич")</f>
        <v>Овсянников Вадим Сергеевич</v>
      </c>
      <c r="C45" s="37"/>
      <c r="D45" s="41" t="str">
        <f ca="1">IFERROR(__xludf.DUMMYFUNCTION("""COMPUTED_VALUE"""),"МОУ ""СОШ №4""")</f>
        <v>МОУ "СОШ №4"</v>
      </c>
      <c r="E45" s="47">
        <f ca="1">IFERROR(__xludf.DUMMYFUNCTION("""COMPUTED_VALUE"""),9)</f>
        <v>9</v>
      </c>
      <c r="F45" s="37" t="str">
        <f ca="1">IFERROR(__xludf.DUMMYFUNCTION("""COMPUTED_VALUE"""),"Шевченко Татьяна Петровна")</f>
        <v>Шевченко Татьяна Петровна</v>
      </c>
      <c r="G45" s="47">
        <f ca="1">IFERROR(__xludf.DUMMYFUNCTION("""COMPUTED_VALUE"""),6)</f>
        <v>6</v>
      </c>
      <c r="H45" s="47">
        <f ca="1">IFERROR(__xludf.DUMMYFUNCTION("""COMPUTED_VALUE"""),13)</f>
        <v>13</v>
      </c>
      <c r="I45" s="47">
        <f ca="1">IFERROR(__xludf.DUMMYFUNCTION("""COMPUTED_VALUE"""),3)</f>
        <v>3</v>
      </c>
      <c r="J45" s="47"/>
      <c r="K45" s="47">
        <f t="shared" ca="1" si="0"/>
        <v>22</v>
      </c>
      <c r="L45" s="38"/>
      <c r="M45" s="69">
        <f t="shared" ca="1" si="1"/>
        <v>22</v>
      </c>
      <c r="N45" s="48">
        <v>39</v>
      </c>
      <c r="O45" s="48" t="s">
        <v>83</v>
      </c>
      <c r="P45" s="48"/>
    </row>
    <row r="46" spans="1:16" ht="12.75" x14ac:dyDescent="0.2">
      <c r="A46" s="48">
        <v>40</v>
      </c>
      <c r="B46" s="37" t="str">
        <f ca="1">IFERROR(__xludf.DUMMYFUNCTION("""COMPUTED_VALUE"""),"Комиссаров Максим Александрович")</f>
        <v>Комиссаров Максим Александрович</v>
      </c>
      <c r="C46" s="37"/>
      <c r="D46" s="41" t="str">
        <f ca="1">IFERROR(__xludf.DUMMYFUNCTION("""COMPUTED_VALUE"""),"МАОУ ""ООШ с. Степное""")</f>
        <v>МАОУ "ООШ с. Степное"</v>
      </c>
      <c r="E46" s="47">
        <f ca="1">IFERROR(__xludf.DUMMYFUNCTION("""COMPUTED_VALUE"""),9)</f>
        <v>9</v>
      </c>
      <c r="F46" s="37" t="str">
        <f ca="1">IFERROR(__xludf.DUMMYFUNCTION("""COMPUTED_VALUE"""),"Макарова Зухра Амирджановна")</f>
        <v>Макарова Зухра Амирджановна</v>
      </c>
      <c r="G46" s="47">
        <f ca="1">IFERROR(__xludf.DUMMYFUNCTION("""COMPUTED_VALUE"""),5)</f>
        <v>5</v>
      </c>
      <c r="H46" s="47">
        <f ca="1">IFERROR(__xludf.DUMMYFUNCTION("""COMPUTED_VALUE"""),17)</f>
        <v>17</v>
      </c>
      <c r="I46" s="47">
        <f ca="1">IFERROR(__xludf.DUMMYFUNCTION("""COMPUTED_VALUE"""),0)</f>
        <v>0</v>
      </c>
      <c r="J46" s="47"/>
      <c r="K46" s="47">
        <f t="shared" ca="1" si="0"/>
        <v>22</v>
      </c>
      <c r="L46" s="36"/>
      <c r="M46" s="69">
        <f t="shared" ca="1" si="1"/>
        <v>22</v>
      </c>
      <c r="N46" s="47">
        <v>40</v>
      </c>
      <c r="O46" s="48" t="s">
        <v>83</v>
      </c>
      <c r="P46" s="48"/>
    </row>
    <row r="47" spans="1:16" ht="12.75" x14ac:dyDescent="0.2">
      <c r="A47" s="47">
        <v>41</v>
      </c>
      <c r="B47" s="36" t="str">
        <f ca="1">IFERROR(__xludf.DUMMYFUNCTION("""COMPUTED_VALUE"""),"Калиева Виктория Денисовна")</f>
        <v>Калиева Виктория Денисовна</v>
      </c>
      <c r="C47" s="36"/>
      <c r="D47" s="40" t="str">
        <f ca="1">IFERROR(__xludf.DUMMYFUNCTION("""COMPUTED_VALUE"""),"МОУ ""СОШ №31""")</f>
        <v>МОУ "СОШ №31"</v>
      </c>
      <c r="E47" s="48">
        <f ca="1">IFERROR(__xludf.DUMMYFUNCTION("""COMPUTED_VALUE"""),9)</f>
        <v>9</v>
      </c>
      <c r="F47" s="36" t="str">
        <f ca="1">IFERROR(__xludf.DUMMYFUNCTION("""COMPUTED_VALUE"""),"Котлярова Евгения Владимировна")</f>
        <v>Котлярова Евгения Владимировна</v>
      </c>
      <c r="G47" s="48">
        <f ca="1">IFERROR(__xludf.DUMMYFUNCTION("""COMPUTED_VALUE"""),6)</f>
        <v>6</v>
      </c>
      <c r="H47" s="48">
        <v>11</v>
      </c>
      <c r="I47" s="48">
        <v>4</v>
      </c>
      <c r="J47" s="48"/>
      <c r="K47" s="47">
        <f t="shared" ca="1" si="0"/>
        <v>21</v>
      </c>
      <c r="L47" s="36"/>
      <c r="M47" s="69">
        <f t="shared" ca="1" si="1"/>
        <v>21</v>
      </c>
      <c r="N47" s="48">
        <v>41</v>
      </c>
      <c r="O47" s="48" t="s">
        <v>83</v>
      </c>
      <c r="P47" s="48"/>
    </row>
    <row r="48" spans="1:16" ht="12.75" x14ac:dyDescent="0.2">
      <c r="A48" s="48">
        <v>42</v>
      </c>
      <c r="B48" s="39" t="str">
        <f ca="1">IFERROR(__xludf.DUMMYFUNCTION("IMPORTRANGE(""https://docs.google.com/spreadsheets/d/16CWr8ky6L0i1S4UOLMYHizeHS6aZnIDEnQPyRJyTpcI/edit#gid=0"", ""СОШ п. им. К.Маркса!B39:O39"")"),"Ермуканова Лиана Нургалиевна")</f>
        <v>Ермуканова Лиана Нургалиевна</v>
      </c>
      <c r="C48" s="37"/>
      <c r="D48" s="41" t="str">
        <f ca="1">IFERROR(__xludf.DUMMYFUNCTION("""COMPUTED_VALUE"""),"МОУ ""СОШ п. им. К. Маркса""")</f>
        <v>МОУ "СОШ п. им. К. Маркса"</v>
      </c>
      <c r="E48" s="47">
        <f ca="1">IFERROR(__xludf.DUMMYFUNCTION("""COMPUTED_VALUE"""),9)</f>
        <v>9</v>
      </c>
      <c r="F48" s="37" t="str">
        <f ca="1">IFERROR(__xludf.DUMMYFUNCTION("""COMPUTED_VALUE"""),"Постнова Ольга Вениаминовна")</f>
        <v>Постнова Ольга Вениаминовна</v>
      </c>
      <c r="G48" s="47">
        <f ca="1">IFERROR(__xludf.DUMMYFUNCTION("""COMPUTED_VALUE"""),8)</f>
        <v>8</v>
      </c>
      <c r="H48" s="47">
        <f ca="1">IFERROR(__xludf.DUMMYFUNCTION("""COMPUTED_VALUE"""),8)</f>
        <v>8</v>
      </c>
      <c r="I48" s="47">
        <f ca="1">IFERROR(__xludf.DUMMYFUNCTION("""COMPUTED_VALUE"""),5)</f>
        <v>5</v>
      </c>
      <c r="J48" s="47"/>
      <c r="K48" s="47">
        <f t="shared" ca="1" si="0"/>
        <v>21</v>
      </c>
      <c r="L48" s="38"/>
      <c r="M48" s="69">
        <f t="shared" ca="1" si="1"/>
        <v>21</v>
      </c>
      <c r="N48" s="48">
        <v>42</v>
      </c>
      <c r="O48" s="48" t="s">
        <v>83</v>
      </c>
      <c r="P48" s="48"/>
    </row>
    <row r="49" spans="1:16" ht="12.75" x14ac:dyDescent="0.2">
      <c r="A49" s="48">
        <v>43</v>
      </c>
      <c r="B49" s="39" t="str">
        <f ca="1">IFERROR(__xludf.DUMMYFUNCTION("IMPORTRANGE(""https://docs.google.com/spreadsheets/d/16CWr8ky6L0i1S4UOLMYHizeHS6aZnIDEnQPyRJyTpcI/edit#gid=0"", ""СОШ с. Шумейка!B23:O27"")"),"Сергеева Марина Андреевна ")</f>
        <v xml:space="preserve">Сергеева Марина Андреевна </v>
      </c>
      <c r="C49" s="37"/>
      <c r="D49" s="41" t="str">
        <f ca="1">IFERROR(__xludf.DUMMYFUNCTION("""COMPUTED_VALUE"""),"МОУ ""СОШ с. Шумейка""")</f>
        <v>МОУ "СОШ с. Шумейка"</v>
      </c>
      <c r="E49" s="47">
        <f ca="1">IFERROR(__xludf.DUMMYFUNCTION("""COMPUTED_VALUE"""),8)</f>
        <v>8</v>
      </c>
      <c r="F49" s="37" t="str">
        <f ca="1">IFERROR(__xludf.DUMMYFUNCTION("""COMPUTED_VALUE"""),"Полякова Наталия Викторовна")</f>
        <v>Полякова Наталия Викторовна</v>
      </c>
      <c r="G49" s="47">
        <f ca="1">IFERROR(__xludf.DUMMYFUNCTION("""COMPUTED_VALUE"""),4)</f>
        <v>4</v>
      </c>
      <c r="H49" s="47">
        <v>16</v>
      </c>
      <c r="I49" s="47">
        <v>1</v>
      </c>
      <c r="J49" s="47"/>
      <c r="K49" s="47">
        <f t="shared" ca="1" si="0"/>
        <v>21</v>
      </c>
      <c r="L49" s="36"/>
      <c r="M49" s="69">
        <f t="shared" ca="1" si="1"/>
        <v>21</v>
      </c>
      <c r="N49" s="47">
        <v>43</v>
      </c>
      <c r="O49" s="48" t="s">
        <v>83</v>
      </c>
      <c r="P49" s="48"/>
    </row>
    <row r="50" spans="1:16" ht="12.75" x14ac:dyDescent="0.2">
      <c r="A50" s="48">
        <v>44</v>
      </c>
      <c r="B50" s="37" t="str">
        <f ca="1">IFERROR(__xludf.DUMMYFUNCTION("""COMPUTED_VALUE"""),"Бикеев Николай Сергеевич")</f>
        <v>Бикеев Николай Сергеевич</v>
      </c>
      <c r="C50" s="37"/>
      <c r="D50" s="41" t="str">
        <f ca="1">IFERROR(__xludf.DUMMYFUNCTION("""COMPUTED_VALUE"""),"МОУ ""СОШ с. Шумейка""")</f>
        <v>МОУ "СОШ с. Шумейка"</v>
      </c>
      <c r="E50" s="47">
        <f ca="1">IFERROR(__xludf.DUMMYFUNCTION("""COMPUTED_VALUE"""),9)</f>
        <v>9</v>
      </c>
      <c r="F50" s="37" t="str">
        <f ca="1">IFERROR(__xludf.DUMMYFUNCTION("""COMPUTED_VALUE"""),"Полякова Наталия Викторовна")</f>
        <v>Полякова Наталия Викторовна</v>
      </c>
      <c r="G50" s="47">
        <f ca="1">IFERROR(__xludf.DUMMYFUNCTION("""COMPUTED_VALUE"""),3)</f>
        <v>3</v>
      </c>
      <c r="H50" s="47">
        <v>15</v>
      </c>
      <c r="I50" s="47">
        <v>3</v>
      </c>
      <c r="J50" s="47"/>
      <c r="K50" s="47">
        <f t="shared" ca="1" si="0"/>
        <v>21</v>
      </c>
      <c r="L50" s="36"/>
      <c r="M50" s="69">
        <f t="shared" ca="1" si="1"/>
        <v>21</v>
      </c>
      <c r="N50" s="48">
        <v>44</v>
      </c>
      <c r="O50" s="48" t="s">
        <v>83</v>
      </c>
      <c r="P50" s="48"/>
    </row>
    <row r="51" spans="1:16" ht="12.75" x14ac:dyDescent="0.2">
      <c r="A51" s="47">
        <v>45</v>
      </c>
      <c r="B51" s="39" t="str">
        <f ca="1">IFERROR(__xludf.DUMMYFUNCTION("IMPORTRANGE(""https://docs.google.com/spreadsheets/d/16CWr8ky6L0i1S4UOLMYHizeHS6aZnIDEnQPyRJyTpcI/edit#gid=0"", ""Патриот!B47:O55"")"),"Емельянов Арсений Антонович")</f>
        <v>Емельянов Арсений Антонович</v>
      </c>
      <c r="C51" s="37"/>
      <c r="D51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51" s="47">
        <f ca="1">IFERROR(__xludf.DUMMYFUNCTION("""COMPUTED_VALUE"""),9)</f>
        <v>9</v>
      </c>
      <c r="F51" s="37" t="str">
        <f ca="1">IFERROR(__xludf.DUMMYFUNCTION("""COMPUTED_VALUE"""),"Новинкина Светлана Габдулловна")</f>
        <v>Новинкина Светлана Габдулловна</v>
      </c>
      <c r="G51" s="47">
        <f ca="1">IFERROR(__xludf.DUMMYFUNCTION("""COMPUTED_VALUE"""),6)</f>
        <v>6</v>
      </c>
      <c r="H51" s="47">
        <f ca="1">IFERROR(__xludf.DUMMYFUNCTION("""COMPUTED_VALUE"""),12)</f>
        <v>12</v>
      </c>
      <c r="I51" s="47">
        <f ca="1">IFERROR(__xludf.DUMMYFUNCTION("""COMPUTED_VALUE"""),3)</f>
        <v>3</v>
      </c>
      <c r="J51" s="47"/>
      <c r="K51" s="47">
        <f t="shared" ca="1" si="0"/>
        <v>21</v>
      </c>
      <c r="L51" s="38"/>
      <c r="M51" s="69">
        <f t="shared" ca="1" si="1"/>
        <v>21</v>
      </c>
      <c r="N51" s="48">
        <v>45</v>
      </c>
      <c r="O51" s="48" t="s">
        <v>83</v>
      </c>
      <c r="P51" s="48"/>
    </row>
    <row r="52" spans="1:16" ht="12.75" x14ac:dyDescent="0.2">
      <c r="A52" s="48">
        <v>46</v>
      </c>
      <c r="B52" s="37" t="str">
        <f ca="1">IFERROR(__xludf.DUMMYFUNCTION("""COMPUTED_VALUE"""),"Тугуев Глеб Олегович")</f>
        <v>Тугуев Глеб Олегович</v>
      </c>
      <c r="C52" s="37"/>
      <c r="D52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52" s="47">
        <f ca="1">IFERROR(__xludf.DUMMYFUNCTION("""COMPUTED_VALUE"""),9)</f>
        <v>9</v>
      </c>
      <c r="F52" s="37" t="str">
        <f ca="1">IFERROR(__xludf.DUMMYFUNCTION("""COMPUTED_VALUE"""),"Новинкина Светлана Габдулловна")</f>
        <v>Новинкина Светлана Габдулловна</v>
      </c>
      <c r="G52" s="47">
        <f ca="1">IFERROR(__xludf.DUMMYFUNCTION("""COMPUTED_VALUE"""),4)</f>
        <v>4</v>
      </c>
      <c r="H52" s="47">
        <f ca="1">IFERROR(__xludf.DUMMYFUNCTION("""COMPUTED_VALUE"""),12)</f>
        <v>12</v>
      </c>
      <c r="I52" s="47">
        <f ca="1">IFERROR(__xludf.DUMMYFUNCTION("""COMPUTED_VALUE"""),5)</f>
        <v>5</v>
      </c>
      <c r="J52" s="47"/>
      <c r="K52" s="47">
        <f t="shared" ca="1" si="0"/>
        <v>21</v>
      </c>
      <c r="L52" s="38"/>
      <c r="M52" s="69">
        <f t="shared" ca="1" si="1"/>
        <v>21</v>
      </c>
      <c r="N52" s="47">
        <v>46</v>
      </c>
      <c r="O52" s="48" t="s">
        <v>83</v>
      </c>
      <c r="P52" s="48"/>
    </row>
    <row r="53" spans="1:16" ht="12.75" x14ac:dyDescent="0.2">
      <c r="A53" s="48">
        <v>47</v>
      </c>
      <c r="B53" s="36" t="str">
        <f ca="1">IFERROR(__xludf.DUMMYFUNCTION("""COMPUTED_VALUE"""),"Васин Кирилл Алексеевна")</f>
        <v>Васин Кирилл Алексеевна</v>
      </c>
      <c r="C53" s="36"/>
      <c r="D53" s="40" t="str">
        <f ca="1">IFERROR(__xludf.DUMMYFUNCTION("""COMPUTED_VALUE"""),"МОУ ""СОШ №4""")</f>
        <v>МОУ "СОШ №4"</v>
      </c>
      <c r="E53" s="48">
        <f ca="1">IFERROR(__xludf.DUMMYFUNCTION("""COMPUTED_VALUE"""),9)</f>
        <v>9</v>
      </c>
      <c r="F53" s="36" t="str">
        <f ca="1">IFERROR(__xludf.DUMMYFUNCTION("""COMPUTED_VALUE"""),"Шевченко Татьяна Петровна")</f>
        <v>Шевченко Татьяна Петровна</v>
      </c>
      <c r="G53" s="48">
        <f ca="1">IFERROR(__xludf.DUMMYFUNCTION("""COMPUTED_VALUE"""),5)</f>
        <v>5</v>
      </c>
      <c r="H53" s="48">
        <f ca="1">IFERROR(__xludf.DUMMYFUNCTION("""COMPUTED_VALUE"""),11)</f>
        <v>11</v>
      </c>
      <c r="I53" s="48">
        <f ca="1">IFERROR(__xludf.DUMMYFUNCTION("""COMPUTED_VALUE"""),4)</f>
        <v>4</v>
      </c>
      <c r="J53" s="48"/>
      <c r="K53" s="47">
        <f t="shared" ca="1" si="0"/>
        <v>20</v>
      </c>
      <c r="L53" s="38"/>
      <c r="M53" s="69">
        <f t="shared" ca="1" si="1"/>
        <v>20</v>
      </c>
      <c r="N53" s="48">
        <v>47</v>
      </c>
      <c r="O53" s="48" t="s">
        <v>83</v>
      </c>
      <c r="P53" s="48"/>
    </row>
    <row r="54" spans="1:16" ht="12.75" x14ac:dyDescent="0.2">
      <c r="A54" s="48">
        <v>48</v>
      </c>
      <c r="B54" s="36" t="str">
        <f ca="1">IFERROR(__xludf.DUMMYFUNCTION("""COMPUTED_VALUE"""),"Антонова Алиса Юрьевна")</f>
        <v>Антонова Алиса Юрьевна</v>
      </c>
      <c r="C54" s="36"/>
      <c r="D54" s="40" t="str">
        <f ca="1">IFERROR(__xludf.DUMMYFUNCTION("""COMPUTED_VALUE"""),"МОУ ""СОШ №9""")</f>
        <v>МОУ "СОШ №9"</v>
      </c>
      <c r="E54" s="48">
        <f ca="1">IFERROR(__xludf.DUMMYFUNCTION("""COMPUTED_VALUE"""),9)</f>
        <v>9</v>
      </c>
      <c r="F54" s="36" t="str">
        <f ca="1">IFERROR(__xludf.DUMMYFUNCTION("""COMPUTED_VALUE"""),"Литовченко Любовь Викторовна")</f>
        <v>Литовченко Любовь Викторовна</v>
      </c>
      <c r="G54" s="48">
        <f ca="1">IFERROR(__xludf.DUMMYFUNCTION("""COMPUTED_VALUE"""),5)</f>
        <v>5</v>
      </c>
      <c r="H54" s="48">
        <f ca="1">IFERROR(__xludf.DUMMYFUNCTION("""COMPUTED_VALUE"""),13)</f>
        <v>13</v>
      </c>
      <c r="I54" s="48">
        <f ca="1">IFERROR(__xludf.DUMMYFUNCTION("""COMPUTED_VALUE"""),2)</f>
        <v>2</v>
      </c>
      <c r="J54" s="48"/>
      <c r="K54" s="47">
        <f t="shared" ca="1" si="0"/>
        <v>20</v>
      </c>
      <c r="L54" s="38"/>
      <c r="M54" s="69">
        <f t="shared" ca="1" si="1"/>
        <v>20</v>
      </c>
      <c r="N54" s="48">
        <v>48</v>
      </c>
      <c r="O54" s="48" t="s">
        <v>83</v>
      </c>
      <c r="P54" s="48"/>
    </row>
    <row r="55" spans="1:16" ht="12.75" x14ac:dyDescent="0.2">
      <c r="A55" s="47">
        <v>49</v>
      </c>
      <c r="B55" s="39" t="str">
        <f ca="1">IFERROR(__xludf.DUMMYFUNCTION("IMPORTRANGE(""https://docs.google.com/spreadsheets/d/16CWr8ky6L0i1S4UOLMYHizeHS6aZnIDEnQPyRJyTpcI/edit#gid=0"", ""Нов. век!B22:O26"")"),"Дьяков Артём Александрович")</f>
        <v>Дьяков Артём Александрович</v>
      </c>
      <c r="C55" s="36"/>
      <c r="D55" s="40" t="str">
        <f ca="1">IFERROR(__xludf.DUMMYFUNCTION("""COMPUTED_VALUE"""),"МОУ ""СОШ им. Ю.А. Гагарина """)</f>
        <v>МОУ "СОШ им. Ю.А. Гагарина "</v>
      </c>
      <c r="E55" s="48">
        <f ca="1">IFERROR(__xludf.DUMMYFUNCTION("""COMPUTED_VALUE"""),9)</f>
        <v>9</v>
      </c>
      <c r="F55" s="36" t="str">
        <f ca="1">IFERROR(__xludf.DUMMYFUNCTION("""COMPUTED_VALUE"""),"Мищенко Ирина Николаевна")</f>
        <v>Мищенко Ирина Николаевна</v>
      </c>
      <c r="G55" s="48">
        <f ca="1">IFERROR(__xludf.DUMMYFUNCTION("""COMPUTED_VALUE"""),6)</f>
        <v>6</v>
      </c>
      <c r="H55" s="48">
        <f ca="1">IFERROR(__xludf.DUMMYFUNCTION("""COMPUTED_VALUE"""),11)</f>
        <v>11</v>
      </c>
      <c r="I55" s="48">
        <f ca="1">IFERROR(__xludf.DUMMYFUNCTION("""COMPUTED_VALUE"""),3)</f>
        <v>3</v>
      </c>
      <c r="J55" s="48"/>
      <c r="K55" s="47">
        <f t="shared" ca="1" si="0"/>
        <v>20</v>
      </c>
      <c r="L55" s="38"/>
      <c r="M55" s="69">
        <f t="shared" ca="1" si="1"/>
        <v>20</v>
      </c>
      <c r="N55" s="47">
        <v>49</v>
      </c>
      <c r="O55" s="48" t="s">
        <v>83</v>
      </c>
      <c r="P55" s="48"/>
    </row>
    <row r="56" spans="1:16" ht="12.75" x14ac:dyDescent="0.2">
      <c r="A56" s="48">
        <v>50</v>
      </c>
      <c r="B56" s="36" t="str">
        <f ca="1">IFERROR(__xludf.DUMMYFUNCTION("""COMPUTED_VALUE"""),"Дюдяев Александр Александрович")</f>
        <v>Дюдяев Александр Александрович</v>
      </c>
      <c r="C56" s="36"/>
      <c r="D56" s="40" t="str">
        <f ca="1">IFERROR(__xludf.DUMMYFUNCTION("""COMPUTED_VALUE"""),"МОУ ""СОШ им. Ю.А. Гагарина """)</f>
        <v>МОУ "СОШ им. Ю.А. Гагарина "</v>
      </c>
      <c r="E56" s="48">
        <f ca="1">IFERROR(__xludf.DUMMYFUNCTION("""COMPUTED_VALUE"""),9)</f>
        <v>9</v>
      </c>
      <c r="F56" s="36" t="str">
        <f ca="1">IFERROR(__xludf.DUMMYFUNCTION("""COMPUTED_VALUE"""),"Мищенко Ирина Николаевна")</f>
        <v>Мищенко Ирина Николаевна</v>
      </c>
      <c r="G56" s="48">
        <f ca="1">IFERROR(__xludf.DUMMYFUNCTION("""COMPUTED_VALUE"""),5)</f>
        <v>5</v>
      </c>
      <c r="H56" s="48">
        <f ca="1">IFERROR(__xludf.DUMMYFUNCTION("""COMPUTED_VALUE"""),10)</f>
        <v>10</v>
      </c>
      <c r="I56" s="48">
        <f ca="1">IFERROR(__xludf.DUMMYFUNCTION("""COMPUTED_VALUE"""),5)</f>
        <v>5</v>
      </c>
      <c r="J56" s="48"/>
      <c r="K56" s="47">
        <f t="shared" ca="1" si="0"/>
        <v>20</v>
      </c>
      <c r="L56" s="38"/>
      <c r="M56" s="69">
        <f t="shared" ca="1" si="1"/>
        <v>20</v>
      </c>
      <c r="N56" s="48">
        <v>50</v>
      </c>
      <c r="O56" s="48" t="s">
        <v>83</v>
      </c>
      <c r="P56" s="48"/>
    </row>
    <row r="57" spans="1:16" ht="12.75" x14ac:dyDescent="0.2">
      <c r="A57" s="48">
        <v>51</v>
      </c>
      <c r="B57" s="36" t="str">
        <f ca="1">IFERROR(__xludf.DUMMYFUNCTION("""COMPUTED_VALUE"""),"Рахметов Арстан  Курматалиевич")</f>
        <v>Рахметов Арстан  Курматалиевич</v>
      </c>
      <c r="C57" s="36"/>
      <c r="D57" s="40" t="str">
        <f ca="1">IFERROR(__xludf.DUMMYFUNCTION("""COMPUTED_VALUE"""),"МОУ ""СОШ №19""")</f>
        <v>МОУ "СОШ №19"</v>
      </c>
      <c r="E57" s="48">
        <f ca="1">IFERROR(__xludf.DUMMYFUNCTION("""COMPUTED_VALUE"""),9)</f>
        <v>9</v>
      </c>
      <c r="F57" s="36" t="str">
        <f ca="1">IFERROR(__xludf.DUMMYFUNCTION("""COMPUTED_VALUE"""),"Карташова Анна Александровна")</f>
        <v>Карташова Анна Александровна</v>
      </c>
      <c r="G57" s="48">
        <f ca="1">IFERROR(__xludf.DUMMYFUNCTION("""COMPUTED_VALUE"""),5)</f>
        <v>5</v>
      </c>
      <c r="H57" s="48">
        <v>11</v>
      </c>
      <c r="I57" s="48">
        <v>4</v>
      </c>
      <c r="J57" s="48"/>
      <c r="K57" s="47">
        <f t="shared" ca="1" si="0"/>
        <v>20</v>
      </c>
      <c r="L57" s="36"/>
      <c r="M57" s="69">
        <f t="shared" ca="1" si="1"/>
        <v>20</v>
      </c>
      <c r="N57" s="48">
        <v>51</v>
      </c>
      <c r="O57" s="48" t="s">
        <v>83</v>
      </c>
      <c r="P57" s="48"/>
    </row>
    <row r="58" spans="1:16" ht="12.75" x14ac:dyDescent="0.2">
      <c r="A58" s="48">
        <v>52</v>
      </c>
      <c r="B58" s="36" t="str">
        <f ca="1">IFERROR(__xludf.DUMMYFUNCTION("""COMPUTED_VALUE"""),"Алексеенко Станислав Дмитриевич")</f>
        <v>Алексеенко Станислав Дмитриевич</v>
      </c>
      <c r="C58" s="36"/>
      <c r="D58" s="40" t="str">
        <f ca="1">IFERROR(__xludf.DUMMYFUNCTION("""COMPUTED_VALUE"""),"МОУ ""СОШ №19""")</f>
        <v>МОУ "СОШ №19"</v>
      </c>
      <c r="E58" s="48">
        <f ca="1">IFERROR(__xludf.DUMMYFUNCTION("""COMPUTED_VALUE"""),9)</f>
        <v>9</v>
      </c>
      <c r="F58" s="36" t="str">
        <f ca="1">IFERROR(__xludf.DUMMYFUNCTION("""COMPUTED_VALUE"""),"Карташова Анна Александровна")</f>
        <v>Карташова Анна Александровна</v>
      </c>
      <c r="G58" s="48">
        <f ca="1">IFERROR(__xludf.DUMMYFUNCTION("""COMPUTED_VALUE"""),5)</f>
        <v>5</v>
      </c>
      <c r="H58" s="48">
        <v>12</v>
      </c>
      <c r="I58" s="48">
        <v>3</v>
      </c>
      <c r="J58" s="48"/>
      <c r="K58" s="47">
        <f t="shared" ca="1" si="0"/>
        <v>20</v>
      </c>
      <c r="L58" s="36"/>
      <c r="M58" s="69">
        <f t="shared" ca="1" si="1"/>
        <v>20</v>
      </c>
      <c r="N58" s="47">
        <v>52</v>
      </c>
      <c r="O58" s="48" t="s">
        <v>83</v>
      </c>
      <c r="P58" s="48"/>
    </row>
    <row r="59" spans="1:16" ht="12.75" x14ac:dyDescent="0.2">
      <c r="A59" s="47">
        <v>53</v>
      </c>
      <c r="B59" s="36" t="str">
        <f ca="1">IFERROR(__xludf.DUMMYFUNCTION("""COMPUTED_VALUE"""),"Байбулов Ильдар Арманович")</f>
        <v>Байбулов Ильдар Арманович</v>
      </c>
      <c r="C59" s="36"/>
      <c r="D59" s="40" t="str">
        <f ca="1">IFERROR(__xludf.DUMMYFUNCTION("""COMPUTED_VALUE"""),"МОУ ""СОШ №31""")</f>
        <v>МОУ "СОШ №31"</v>
      </c>
      <c r="E59" s="48">
        <f ca="1">IFERROR(__xludf.DUMMYFUNCTION("""COMPUTED_VALUE"""),9)</f>
        <v>9</v>
      </c>
      <c r="F59" s="36" t="str">
        <f ca="1">IFERROR(__xludf.DUMMYFUNCTION("""COMPUTED_VALUE"""),"Котлярова Евгения Владимировна")</f>
        <v>Котлярова Евгения Владимировна</v>
      </c>
      <c r="G59" s="48">
        <f ca="1">IFERROR(__xludf.DUMMYFUNCTION("""COMPUTED_VALUE"""),6)</f>
        <v>6</v>
      </c>
      <c r="H59" s="48">
        <v>11</v>
      </c>
      <c r="I59" s="48">
        <v>3</v>
      </c>
      <c r="J59" s="48"/>
      <c r="K59" s="47">
        <f t="shared" ca="1" si="0"/>
        <v>20</v>
      </c>
      <c r="L59" s="36"/>
      <c r="M59" s="69">
        <f t="shared" ca="1" si="1"/>
        <v>20</v>
      </c>
      <c r="N59" s="48">
        <v>53</v>
      </c>
      <c r="O59" s="48" t="s">
        <v>83</v>
      </c>
      <c r="P59" s="48"/>
    </row>
    <row r="60" spans="1:16" ht="12.75" x14ac:dyDescent="0.2">
      <c r="A60" s="48">
        <v>54</v>
      </c>
      <c r="B60" s="36" t="str">
        <f ca="1">IFERROR(__xludf.DUMMYFUNCTION("""COMPUTED_VALUE"""),"Скрипай Софья Олеговна")</f>
        <v>Скрипай Софья Олеговна</v>
      </c>
      <c r="C60" s="36"/>
      <c r="D60" s="40" t="str">
        <f ca="1">IFERROR(__xludf.DUMMYFUNCTION("""COMPUTED_VALUE"""),"МОУ ""МЭЛ им. Шнитке А.Г.""")</f>
        <v>МОУ "МЭЛ им. Шнитке А.Г."</v>
      </c>
      <c r="E60" s="48">
        <f ca="1">IFERROR(__xludf.DUMMYFUNCTION("""COMPUTED_VALUE"""),9)</f>
        <v>9</v>
      </c>
      <c r="F60" s="36" t="str">
        <f ca="1">IFERROR(__xludf.DUMMYFUNCTION("""COMPUTED_VALUE"""),"Мотавкина Светлана Сергеевна")</f>
        <v>Мотавкина Светлана Сергеевна</v>
      </c>
      <c r="G60" s="48">
        <f ca="1">IFERROR(__xludf.DUMMYFUNCTION("""COMPUTED_VALUE"""),5)</f>
        <v>5</v>
      </c>
      <c r="H60" s="48">
        <f ca="1">IFERROR(__xludf.DUMMYFUNCTION("""COMPUTED_VALUE"""),11)</f>
        <v>11</v>
      </c>
      <c r="I60" s="48">
        <f ca="1">IFERROR(__xludf.DUMMYFUNCTION("""COMPUTED_VALUE"""),4)</f>
        <v>4</v>
      </c>
      <c r="J60" s="48"/>
      <c r="K60" s="47">
        <f t="shared" ca="1" si="0"/>
        <v>20</v>
      </c>
      <c r="L60" s="38"/>
      <c r="M60" s="69">
        <f t="shared" ca="1" si="1"/>
        <v>20</v>
      </c>
      <c r="N60" s="48">
        <v>54</v>
      </c>
      <c r="O60" s="48" t="s">
        <v>83</v>
      </c>
      <c r="P60" s="48"/>
    </row>
    <row r="61" spans="1:16" ht="12.75" x14ac:dyDescent="0.2">
      <c r="A61" s="48">
        <v>55</v>
      </c>
      <c r="B61" s="37" t="str">
        <f ca="1">IFERROR(__xludf.DUMMYFUNCTION("""COMPUTED_VALUE"""),"Варзар Диана Максимовна")</f>
        <v>Варзар Диана Максимовна</v>
      </c>
      <c r="C61" s="37"/>
      <c r="D61" s="41" t="str">
        <f ca="1">IFERROR(__xludf.DUMMYFUNCTION("""COMPUTED_VALUE"""),"МОУ ""СОШ п. Придорожный""")</f>
        <v>МОУ "СОШ п. Придорожный"</v>
      </c>
      <c r="E61" s="47">
        <f ca="1">IFERROR(__xludf.DUMMYFUNCTION("""COMPUTED_VALUE"""),9)</f>
        <v>9</v>
      </c>
      <c r="F61" s="37" t="str">
        <f ca="1">IFERROR(__xludf.DUMMYFUNCTION("""COMPUTED_VALUE"""),"Костыря Елена Николаевна")</f>
        <v>Костыря Елена Николаевна</v>
      </c>
      <c r="G61" s="47">
        <f ca="1">IFERROR(__xludf.DUMMYFUNCTION("""COMPUTED_VALUE"""),6)</f>
        <v>6</v>
      </c>
      <c r="H61" s="47">
        <v>14</v>
      </c>
      <c r="I61" s="47">
        <v>0</v>
      </c>
      <c r="J61" s="47"/>
      <c r="K61" s="47">
        <f t="shared" ca="1" si="0"/>
        <v>20</v>
      </c>
      <c r="L61" s="36"/>
      <c r="M61" s="69">
        <f t="shared" ca="1" si="1"/>
        <v>20</v>
      </c>
      <c r="N61" s="47">
        <v>55</v>
      </c>
      <c r="O61" s="48" t="s">
        <v>83</v>
      </c>
      <c r="P61" s="48"/>
    </row>
    <row r="62" spans="1:16" ht="12.75" x14ac:dyDescent="0.2">
      <c r="A62" s="48">
        <v>56</v>
      </c>
      <c r="B62" s="37" t="str">
        <f ca="1">IFERROR(__xludf.DUMMYFUNCTION("""COMPUTED_VALUE"""),"Дедюхин Игорь Игоревич")</f>
        <v>Дедюхин Игорь Игоревич</v>
      </c>
      <c r="C62" s="37"/>
      <c r="D62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62" s="47">
        <f ca="1">IFERROR(__xludf.DUMMYFUNCTION("""COMPUTED_VALUE"""),9)</f>
        <v>9</v>
      </c>
      <c r="F62" s="37" t="str">
        <f ca="1">IFERROR(__xludf.DUMMYFUNCTION("""COMPUTED_VALUE"""),"Новинкина Светлана Габдулловна")</f>
        <v>Новинкина Светлана Габдулловна</v>
      </c>
      <c r="G62" s="47">
        <f ca="1">IFERROR(__xludf.DUMMYFUNCTION("""COMPUTED_VALUE"""),4)</f>
        <v>4</v>
      </c>
      <c r="H62" s="47">
        <f ca="1">IFERROR(__xludf.DUMMYFUNCTION("""COMPUTED_VALUE"""),12)</f>
        <v>12</v>
      </c>
      <c r="I62" s="47">
        <f ca="1">IFERROR(__xludf.DUMMYFUNCTION("""COMPUTED_VALUE"""),4)</f>
        <v>4</v>
      </c>
      <c r="J62" s="47"/>
      <c r="K62" s="47">
        <f t="shared" ca="1" si="0"/>
        <v>20</v>
      </c>
      <c r="L62" s="38"/>
      <c r="M62" s="69">
        <f t="shared" ca="1" si="1"/>
        <v>20</v>
      </c>
      <c r="N62" s="48">
        <v>56</v>
      </c>
      <c r="O62" s="48" t="s">
        <v>83</v>
      </c>
      <c r="P62" s="48"/>
    </row>
    <row r="63" spans="1:16" ht="12.75" x14ac:dyDescent="0.2">
      <c r="A63" s="47">
        <v>57</v>
      </c>
      <c r="B63" s="39" t="str">
        <f ca="1">IFERROR(__xludf.DUMMYFUNCTION("IMPORTRANGE(""https://docs.google.com/spreadsheets/d/16CWr8ky6L0i1S4UOLMYHizeHS6aZnIDEnQPyRJyTpcI/edit#gid=0"", ""ООШ с. Степное!B23:O27"")"),"Сисиналиев Амир Арманович")</f>
        <v>Сисиналиев Амир Арманович</v>
      </c>
      <c r="C63" s="37"/>
      <c r="D63" s="41" t="str">
        <f ca="1">IFERROR(__xludf.DUMMYFUNCTION("""COMPUTED_VALUE"""),"МАОУ ""ООШ с. Степное""")</f>
        <v>МАОУ "ООШ с. Степное"</v>
      </c>
      <c r="E63" s="47">
        <f ca="1">IFERROR(__xludf.DUMMYFUNCTION("""COMPUTED_VALUE"""),9)</f>
        <v>9</v>
      </c>
      <c r="F63" s="37" t="str">
        <f ca="1">IFERROR(__xludf.DUMMYFUNCTION("""COMPUTED_VALUE"""),"Макарова Зухра Амирджановна")</f>
        <v>Макарова Зухра Амирджановна</v>
      </c>
      <c r="G63" s="47">
        <f ca="1">IFERROR(__xludf.DUMMYFUNCTION("""COMPUTED_VALUE"""),5)</f>
        <v>5</v>
      </c>
      <c r="H63" s="47">
        <f ca="1">IFERROR(__xludf.DUMMYFUNCTION("""COMPUTED_VALUE"""),15)</f>
        <v>15</v>
      </c>
      <c r="I63" s="47">
        <f ca="1">IFERROR(__xludf.DUMMYFUNCTION("""COMPUTED_VALUE"""),0)</f>
        <v>0</v>
      </c>
      <c r="J63" s="47"/>
      <c r="K63" s="47">
        <f t="shared" ca="1" si="0"/>
        <v>20</v>
      </c>
      <c r="L63" s="36"/>
      <c r="M63" s="69">
        <f t="shared" ca="1" si="1"/>
        <v>20</v>
      </c>
      <c r="N63" s="48">
        <v>57</v>
      </c>
      <c r="O63" s="48" t="s">
        <v>83</v>
      </c>
      <c r="P63" s="48"/>
    </row>
    <row r="64" spans="1:16" ht="12.75" x14ac:dyDescent="0.2">
      <c r="A64" s="48">
        <v>58</v>
      </c>
      <c r="B64" s="37" t="str">
        <f ca="1">IFERROR(__xludf.DUMMYFUNCTION("""COMPUTED_VALUE"""),"Ходжаев Андрей Тавакалшоевич")</f>
        <v>Ходжаев Андрей Тавакалшоевич</v>
      </c>
      <c r="C64" s="37"/>
      <c r="D64" s="41" t="str">
        <f ca="1">IFERROR(__xludf.DUMMYFUNCTION("""COMPUTED_VALUE"""),"МАОУ ""ООШ с. Степное""")</f>
        <v>МАОУ "ООШ с. Степное"</v>
      </c>
      <c r="E64" s="47">
        <f ca="1">IFERROR(__xludf.DUMMYFUNCTION("""COMPUTED_VALUE"""),9)</f>
        <v>9</v>
      </c>
      <c r="F64" s="37" t="str">
        <f ca="1">IFERROR(__xludf.DUMMYFUNCTION("""COMPUTED_VALUE"""),"Макарова Зухра Амирджановна")</f>
        <v>Макарова Зухра Амирджановна</v>
      </c>
      <c r="G64" s="47">
        <f ca="1">IFERROR(__xludf.DUMMYFUNCTION("""COMPUTED_VALUE"""),5)</f>
        <v>5</v>
      </c>
      <c r="H64" s="47">
        <f ca="1">IFERROR(__xludf.DUMMYFUNCTION("""COMPUTED_VALUE"""),15)</f>
        <v>15</v>
      </c>
      <c r="I64" s="47">
        <f ca="1">IFERROR(__xludf.DUMMYFUNCTION("""COMPUTED_VALUE"""),0)</f>
        <v>0</v>
      </c>
      <c r="J64" s="47"/>
      <c r="K64" s="47">
        <f t="shared" ca="1" si="0"/>
        <v>20</v>
      </c>
      <c r="L64" s="36"/>
      <c r="M64" s="69">
        <f t="shared" ca="1" si="1"/>
        <v>20</v>
      </c>
      <c r="N64" s="47">
        <v>58</v>
      </c>
      <c r="O64" s="48" t="s">
        <v>83</v>
      </c>
      <c r="P64" s="48"/>
    </row>
    <row r="65" spans="1:16" ht="12.75" x14ac:dyDescent="0.2">
      <c r="A65" s="48">
        <v>59</v>
      </c>
      <c r="B65" s="36" t="str">
        <f ca="1">IFERROR(__xludf.DUMMYFUNCTION("""COMPUTED_VALUE"""),"Дьяков Артём Александрович")</f>
        <v>Дьяков Артём Александрович</v>
      </c>
      <c r="C65" s="36"/>
      <c r="D65" s="40" t="str">
        <f ca="1">IFERROR(__xludf.DUMMYFUNCTION("""COMPUTED_VALUE"""),"МОУ ""СОШ им. Ю.А. Гагарина """)</f>
        <v>МОУ "СОШ им. Ю.А. Гагарина "</v>
      </c>
      <c r="E65" s="48">
        <f ca="1">IFERROR(__xludf.DUMMYFUNCTION("""COMPUTED_VALUE"""),9)</f>
        <v>9</v>
      </c>
      <c r="F65" s="36" t="str">
        <f ca="1">IFERROR(__xludf.DUMMYFUNCTION("""COMPUTED_VALUE"""),"Мищенко Ирина Николаевна")</f>
        <v>Мищенко Ирина Николаевна</v>
      </c>
      <c r="G65" s="48">
        <f ca="1">IFERROR(__xludf.DUMMYFUNCTION("""COMPUTED_VALUE"""),6)</f>
        <v>6</v>
      </c>
      <c r="H65" s="48">
        <f ca="1">IFERROR(__xludf.DUMMYFUNCTION("""COMPUTED_VALUE"""),11)</f>
        <v>11</v>
      </c>
      <c r="I65" s="48">
        <f ca="1">IFERROR(__xludf.DUMMYFUNCTION("""COMPUTED_VALUE"""),3)</f>
        <v>3</v>
      </c>
      <c r="J65" s="48"/>
      <c r="K65" s="47">
        <f t="shared" ca="1" si="0"/>
        <v>20</v>
      </c>
      <c r="L65" s="38"/>
      <c r="M65" s="69">
        <f t="shared" ca="1" si="1"/>
        <v>20</v>
      </c>
      <c r="N65" s="48">
        <v>59</v>
      </c>
      <c r="O65" s="48" t="s">
        <v>83</v>
      </c>
      <c r="P65" s="48"/>
    </row>
    <row r="66" spans="1:16" ht="12.75" x14ac:dyDescent="0.2">
      <c r="A66" s="48">
        <v>60</v>
      </c>
      <c r="B66" s="36" t="str">
        <f ca="1">IFERROR(__xludf.DUMMYFUNCTION("""COMPUTED_VALUE"""),"Аблов Денис Сергеевич")</f>
        <v>Аблов Денис Сергеевич</v>
      </c>
      <c r="C66" s="36"/>
      <c r="D66" s="40" t="str">
        <f ca="1">IFERROR(__xludf.DUMMYFUNCTION("""COMPUTED_VALUE"""),"МОУ ""СОШ №9""")</f>
        <v>МОУ "СОШ №9"</v>
      </c>
      <c r="E66" s="48">
        <f ca="1">IFERROR(__xludf.DUMMYFUNCTION("""COMPUTED_VALUE"""),9)</f>
        <v>9</v>
      </c>
      <c r="F66" s="36" t="str">
        <f ca="1">IFERROR(__xludf.DUMMYFUNCTION("""COMPUTED_VALUE"""),"Литовченко Любовь Викторовна")</f>
        <v>Литовченко Любовь Викторовна</v>
      </c>
      <c r="G66" s="48">
        <f ca="1">IFERROR(__xludf.DUMMYFUNCTION("""COMPUTED_VALUE"""),6)</f>
        <v>6</v>
      </c>
      <c r="H66" s="48">
        <f ca="1">IFERROR(__xludf.DUMMYFUNCTION("""COMPUTED_VALUE"""),11)</f>
        <v>11</v>
      </c>
      <c r="I66" s="48">
        <f ca="1">IFERROR(__xludf.DUMMYFUNCTION("""COMPUTED_VALUE"""),2)</f>
        <v>2</v>
      </c>
      <c r="J66" s="48"/>
      <c r="K66" s="47">
        <f t="shared" ca="1" si="0"/>
        <v>19</v>
      </c>
      <c r="L66" s="38"/>
      <c r="M66" s="69">
        <f t="shared" ca="1" si="1"/>
        <v>19</v>
      </c>
      <c r="N66" s="48">
        <v>60</v>
      </c>
      <c r="O66" s="48" t="s">
        <v>83</v>
      </c>
      <c r="P66" s="48"/>
    </row>
    <row r="67" spans="1:16" ht="12.75" x14ac:dyDescent="0.2">
      <c r="A67" s="47">
        <v>61</v>
      </c>
      <c r="B67" s="36" t="str">
        <f ca="1">IFERROR(__xludf.DUMMYFUNCTION("""COMPUTED_VALUE"""),"Брагина Дарья Денисовна")</f>
        <v>Брагина Дарья Денисовна</v>
      </c>
      <c r="C67" s="36"/>
      <c r="D67" s="40" t="str">
        <f ca="1">IFERROR(__xludf.DUMMYFUNCTION("""COMPUTED_VALUE"""),"МОУ ""СОШ им. Ю.А. Гагарина """)</f>
        <v>МОУ "СОШ им. Ю.А. Гагарина "</v>
      </c>
      <c r="E67" s="48">
        <f ca="1">IFERROR(__xludf.DUMMYFUNCTION("""COMPUTED_VALUE"""),9)</f>
        <v>9</v>
      </c>
      <c r="F67" s="36" t="str">
        <f ca="1">IFERROR(__xludf.DUMMYFUNCTION("""COMPUTED_VALUE"""),"Мищенко Ирина Николаевна")</f>
        <v>Мищенко Ирина Николаевна</v>
      </c>
      <c r="G67" s="48">
        <f ca="1">IFERROR(__xludf.DUMMYFUNCTION("""COMPUTED_VALUE"""),4)</f>
        <v>4</v>
      </c>
      <c r="H67" s="48">
        <f ca="1">IFERROR(__xludf.DUMMYFUNCTION("""COMPUTED_VALUE"""),12)</f>
        <v>12</v>
      </c>
      <c r="I67" s="48">
        <f ca="1">IFERROR(__xludf.DUMMYFUNCTION("""COMPUTED_VALUE"""),3)</f>
        <v>3</v>
      </c>
      <c r="J67" s="48"/>
      <c r="K67" s="47">
        <f t="shared" ca="1" si="0"/>
        <v>19</v>
      </c>
      <c r="L67" s="38"/>
      <c r="M67" s="69">
        <f t="shared" ca="1" si="1"/>
        <v>19</v>
      </c>
      <c r="N67" s="47">
        <v>61</v>
      </c>
      <c r="O67" s="48" t="s">
        <v>83</v>
      </c>
      <c r="P67" s="48"/>
    </row>
    <row r="68" spans="1:16" ht="12.75" x14ac:dyDescent="0.2">
      <c r="A68" s="48">
        <v>62</v>
      </c>
      <c r="B68" s="36" t="str">
        <f ca="1">IFERROR(__xludf.DUMMYFUNCTION("""COMPUTED_VALUE"""),"Лебедь Анжелика Дмитриевна")</f>
        <v>Лебедь Анжелика Дмитриевна</v>
      </c>
      <c r="C68" s="36"/>
      <c r="D68" s="40" t="str">
        <f ca="1">IFERROR(__xludf.DUMMYFUNCTION("""COMPUTED_VALUE"""),"МОУ ""СОШ №31""")</f>
        <v>МОУ "СОШ №31"</v>
      </c>
      <c r="E68" s="48">
        <f ca="1">IFERROR(__xludf.DUMMYFUNCTION("""COMPUTED_VALUE"""),9)</f>
        <v>9</v>
      </c>
      <c r="F68" s="36" t="str">
        <f ca="1">IFERROR(__xludf.DUMMYFUNCTION("""COMPUTED_VALUE"""),"Котлярова Евгения Владимировна")</f>
        <v>Котлярова Евгения Владимировна</v>
      </c>
      <c r="G68" s="48">
        <f ca="1">IFERROR(__xludf.DUMMYFUNCTION("""COMPUTED_VALUE"""),5)</f>
        <v>5</v>
      </c>
      <c r="H68" s="48">
        <v>11</v>
      </c>
      <c r="I68" s="48">
        <v>3</v>
      </c>
      <c r="J68" s="48"/>
      <c r="K68" s="47">
        <f t="shared" ca="1" si="0"/>
        <v>19</v>
      </c>
      <c r="L68" s="36"/>
      <c r="M68" s="69">
        <f t="shared" ca="1" si="1"/>
        <v>19</v>
      </c>
      <c r="N68" s="48">
        <v>62</v>
      </c>
      <c r="O68" s="48" t="s">
        <v>83</v>
      </c>
      <c r="P68" s="48"/>
    </row>
    <row r="69" spans="1:16" ht="12.75" x14ac:dyDescent="0.2">
      <c r="A69" s="48">
        <v>63</v>
      </c>
      <c r="B69" s="36" t="str">
        <f ca="1">IFERROR(__xludf.DUMMYFUNCTION("""COMPUTED_VALUE"""),"Сухова Алина Алексеевна")</f>
        <v>Сухова Алина Алексеевна</v>
      </c>
      <c r="C69" s="36"/>
      <c r="D69" s="40" t="str">
        <f ca="1">IFERROR(__xludf.DUMMYFUNCTION("""COMPUTED_VALUE"""),"МОУ ""СОШ №33""")</f>
        <v>МОУ "СОШ №33"</v>
      </c>
      <c r="E69" s="48">
        <f ca="1">IFERROR(__xludf.DUMMYFUNCTION("""COMPUTED_VALUE"""),9)</f>
        <v>9</v>
      </c>
      <c r="F69" s="36" t="str">
        <f ca="1">IFERROR(__xludf.DUMMYFUNCTION("""COMPUTED_VALUE"""),"Сибряева Надежда Васильевна")</f>
        <v>Сибряева Надежда Васильевна</v>
      </c>
      <c r="G69" s="48">
        <f ca="1">IFERROR(__xludf.DUMMYFUNCTION("""COMPUTED_VALUE"""),4)</f>
        <v>4</v>
      </c>
      <c r="H69" s="48">
        <f ca="1">IFERROR(__xludf.DUMMYFUNCTION("""COMPUTED_VALUE"""),14)</f>
        <v>14</v>
      </c>
      <c r="I69" s="48">
        <f ca="1">IFERROR(__xludf.DUMMYFUNCTION("""COMPUTED_VALUE"""),1)</f>
        <v>1</v>
      </c>
      <c r="J69" s="48"/>
      <c r="K69" s="47">
        <f t="shared" ca="1" si="0"/>
        <v>19</v>
      </c>
      <c r="L69" s="38"/>
      <c r="M69" s="69">
        <f t="shared" ca="1" si="1"/>
        <v>19</v>
      </c>
      <c r="N69" s="48">
        <v>63</v>
      </c>
      <c r="O69" s="48" t="s">
        <v>83</v>
      </c>
      <c r="P69" s="48"/>
    </row>
    <row r="70" spans="1:16" ht="12.75" x14ac:dyDescent="0.2">
      <c r="A70" s="48">
        <v>64</v>
      </c>
      <c r="B70" s="36" t="str">
        <f ca="1">IFERROR(__xludf.DUMMYFUNCTION("""COMPUTED_VALUE"""),"Безгина Евгения Александровна")</f>
        <v>Безгина Евгения Александровна</v>
      </c>
      <c r="C70" s="36"/>
      <c r="D70" s="40" t="str">
        <f ca="1">IFERROR(__xludf.DUMMYFUNCTION("""COMPUTED_VALUE"""),"МОУ ""МЭЛ им. Шнитке А.Г.""")</f>
        <v>МОУ "МЭЛ им. Шнитке А.Г."</v>
      </c>
      <c r="E70" s="48">
        <f ca="1">IFERROR(__xludf.DUMMYFUNCTION("""COMPUTED_VALUE"""),9)</f>
        <v>9</v>
      </c>
      <c r="F70" s="36" t="str">
        <f ca="1">IFERROR(__xludf.DUMMYFUNCTION("""COMPUTED_VALUE"""),"Мотавкина Светлана Сергеевна")</f>
        <v>Мотавкина Светлана Сергеевна</v>
      </c>
      <c r="G70" s="48">
        <f ca="1">IFERROR(__xludf.DUMMYFUNCTION("""COMPUTED_VALUE"""),4)</f>
        <v>4</v>
      </c>
      <c r="H70" s="48">
        <f ca="1">IFERROR(__xludf.DUMMYFUNCTION("""COMPUTED_VALUE"""),11)</f>
        <v>11</v>
      </c>
      <c r="I70" s="48">
        <f ca="1">IFERROR(__xludf.DUMMYFUNCTION("""COMPUTED_VALUE"""),4)</f>
        <v>4</v>
      </c>
      <c r="J70" s="48"/>
      <c r="K70" s="47">
        <f t="shared" ca="1" si="0"/>
        <v>19</v>
      </c>
      <c r="L70" s="38"/>
      <c r="M70" s="69">
        <f t="shared" ca="1" si="1"/>
        <v>19</v>
      </c>
      <c r="N70" s="47">
        <v>64</v>
      </c>
      <c r="O70" s="48" t="s">
        <v>83</v>
      </c>
      <c r="P70" s="48"/>
    </row>
    <row r="71" spans="1:16" ht="12.75" x14ac:dyDescent="0.2">
      <c r="A71" s="47">
        <v>65</v>
      </c>
      <c r="B71" s="37" t="str">
        <f ca="1">IFERROR(__xludf.DUMMYFUNCTION("""COMPUTED_VALUE"""),"Сорокин Дмитрий Олегович")</f>
        <v>Сорокин Дмитрий Олегович</v>
      </c>
      <c r="C71" s="37"/>
      <c r="D71" s="41" t="str">
        <f ca="1">IFERROR(__xludf.DUMMYFUNCTION("""COMPUTED_VALUE"""),"МОУ ""СОШ п. Придорожный""")</f>
        <v>МОУ "СОШ п. Придорожный"</v>
      </c>
      <c r="E71" s="47">
        <f ca="1">IFERROR(__xludf.DUMMYFUNCTION("""COMPUTED_VALUE"""),9)</f>
        <v>9</v>
      </c>
      <c r="F71" s="37" t="str">
        <f ca="1">IFERROR(__xludf.DUMMYFUNCTION("""COMPUTED_VALUE"""),"Костыря Елена Николаевна")</f>
        <v>Костыря Елена Николаевна</v>
      </c>
      <c r="G71" s="47">
        <f ca="1">IFERROR(__xludf.DUMMYFUNCTION("""COMPUTED_VALUE"""),7)</f>
        <v>7</v>
      </c>
      <c r="H71" s="47">
        <v>12</v>
      </c>
      <c r="I71" s="47">
        <v>0</v>
      </c>
      <c r="J71" s="47"/>
      <c r="K71" s="47">
        <f t="shared" ca="1" si="0"/>
        <v>19</v>
      </c>
      <c r="L71" s="36"/>
      <c r="M71" s="69">
        <f t="shared" ca="1" si="1"/>
        <v>19</v>
      </c>
      <c r="N71" s="48">
        <v>65</v>
      </c>
      <c r="O71" s="48" t="s">
        <v>83</v>
      </c>
      <c r="P71" s="48"/>
    </row>
    <row r="72" spans="1:16" ht="12.75" x14ac:dyDescent="0.2">
      <c r="A72" s="48">
        <v>66</v>
      </c>
      <c r="B72" s="37" t="str">
        <f ca="1">IFERROR(__xludf.DUMMYFUNCTION("""COMPUTED_VALUE"""),"Шацков Глеб Алексеевич")</f>
        <v>Шацков Глеб Алексеевич</v>
      </c>
      <c r="C72" s="37"/>
      <c r="D72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72" s="47">
        <f ca="1">IFERROR(__xludf.DUMMYFUNCTION("""COMPUTED_VALUE"""),9)</f>
        <v>9</v>
      </c>
      <c r="F72" s="37" t="str">
        <f ca="1">IFERROR(__xludf.DUMMYFUNCTION("""COMPUTED_VALUE"""),"Новинкина Светлана Габдулловна")</f>
        <v>Новинкина Светлана Габдулловна</v>
      </c>
      <c r="G72" s="47">
        <f ca="1">IFERROR(__xludf.DUMMYFUNCTION("""COMPUTED_VALUE"""),4)</f>
        <v>4</v>
      </c>
      <c r="H72" s="47">
        <f ca="1">IFERROR(__xludf.DUMMYFUNCTION("""COMPUTED_VALUE"""),13)</f>
        <v>13</v>
      </c>
      <c r="I72" s="47">
        <f ca="1">IFERROR(__xludf.DUMMYFUNCTION("""COMPUTED_VALUE"""),2)</f>
        <v>2</v>
      </c>
      <c r="J72" s="47"/>
      <c r="K72" s="47">
        <f t="shared" ref="K72:K91" ca="1" si="2">SUM(G72:I72)</f>
        <v>19</v>
      </c>
      <c r="L72" s="38"/>
      <c r="M72" s="69">
        <f t="shared" ref="M72:M91" ca="1" si="3">K72</f>
        <v>19</v>
      </c>
      <c r="N72" s="48">
        <v>66</v>
      </c>
      <c r="O72" s="48" t="s">
        <v>83</v>
      </c>
      <c r="P72" s="48"/>
    </row>
    <row r="73" spans="1:16" ht="12.75" x14ac:dyDescent="0.2">
      <c r="A73" s="48">
        <v>67</v>
      </c>
      <c r="B73" s="36" t="str">
        <f ca="1">IFERROR(__xludf.DUMMYFUNCTION("""COMPUTED_VALUE"""),"Мордвинова Виктория Андреевна")</f>
        <v>Мордвинова Виктория Андреевна</v>
      </c>
      <c r="C73" s="36"/>
      <c r="D73" s="40" t="str">
        <f ca="1">IFERROR(__xludf.DUMMYFUNCTION("""COMPUTED_VALUE"""),"МОУ ""СОШ №4""")</f>
        <v>МОУ "СОШ №4"</v>
      </c>
      <c r="E73" s="48">
        <f ca="1">IFERROR(__xludf.DUMMYFUNCTION("""COMPUTED_VALUE"""),9)</f>
        <v>9</v>
      </c>
      <c r="F73" s="36" t="str">
        <f ca="1">IFERROR(__xludf.DUMMYFUNCTION("""COMPUTED_VALUE"""),"Шевченко Татьяна Петровна")</f>
        <v>Шевченко Татьяна Петровна</v>
      </c>
      <c r="G73" s="48">
        <f ca="1">IFERROR(__xludf.DUMMYFUNCTION("""COMPUTED_VALUE"""),6)</f>
        <v>6</v>
      </c>
      <c r="H73" s="48">
        <f ca="1">IFERROR(__xludf.DUMMYFUNCTION("""COMPUTED_VALUE"""),10)</f>
        <v>10</v>
      </c>
      <c r="I73" s="48">
        <f ca="1">IFERROR(__xludf.DUMMYFUNCTION("""COMPUTED_VALUE"""),2)</f>
        <v>2</v>
      </c>
      <c r="J73" s="48"/>
      <c r="K73" s="47">
        <f t="shared" ca="1" si="2"/>
        <v>18</v>
      </c>
      <c r="L73" s="38"/>
      <c r="M73" s="69">
        <f t="shared" ca="1" si="3"/>
        <v>18</v>
      </c>
      <c r="N73" s="47">
        <v>67</v>
      </c>
      <c r="O73" s="48" t="s">
        <v>83</v>
      </c>
      <c r="P73" s="48"/>
    </row>
    <row r="74" spans="1:16" ht="12.75" x14ac:dyDescent="0.2">
      <c r="A74" s="48">
        <v>68</v>
      </c>
      <c r="B74" s="36" t="str">
        <f ca="1">IFERROR(__xludf.DUMMYFUNCTION("""COMPUTED_VALUE"""),"Хохулин  Виктор Иванович")</f>
        <v>Хохулин  Виктор Иванович</v>
      </c>
      <c r="C74" s="36"/>
      <c r="D74" s="40" t="str">
        <f ca="1">IFERROR(__xludf.DUMMYFUNCTION("""COMPUTED_VALUE"""),"МОУ ""СОШ №19""")</f>
        <v>МОУ "СОШ №19"</v>
      </c>
      <c r="E74" s="48">
        <f ca="1">IFERROR(__xludf.DUMMYFUNCTION("""COMPUTED_VALUE"""),9)</f>
        <v>9</v>
      </c>
      <c r="F74" s="36" t="str">
        <f ca="1">IFERROR(__xludf.DUMMYFUNCTION("""COMPUTED_VALUE"""),"Карташова Анна Александровна")</f>
        <v>Карташова Анна Александровна</v>
      </c>
      <c r="G74" s="48">
        <f ca="1">IFERROR(__xludf.DUMMYFUNCTION("""COMPUTED_VALUE"""),4)</f>
        <v>4</v>
      </c>
      <c r="H74" s="48">
        <v>12</v>
      </c>
      <c r="I74" s="48">
        <v>2</v>
      </c>
      <c r="J74" s="48"/>
      <c r="K74" s="47">
        <f t="shared" ca="1" si="2"/>
        <v>18</v>
      </c>
      <c r="L74" s="36"/>
      <c r="M74" s="69">
        <f t="shared" ca="1" si="3"/>
        <v>18</v>
      </c>
      <c r="N74" s="48">
        <v>68</v>
      </c>
      <c r="O74" s="48" t="s">
        <v>83</v>
      </c>
      <c r="P74" s="48"/>
    </row>
    <row r="75" spans="1:16" ht="12.75" x14ac:dyDescent="0.2">
      <c r="A75" s="47">
        <v>69</v>
      </c>
      <c r="B75" s="36" t="str">
        <f ca="1">IFERROR(__xludf.DUMMYFUNCTION("""COMPUTED_VALUE"""),"Путятин Иван Алексеевич")</f>
        <v>Путятин Иван Алексеевич</v>
      </c>
      <c r="C75" s="36"/>
      <c r="D75" s="40" t="str">
        <f ca="1">IFERROR(__xludf.DUMMYFUNCTION("""COMPUTED_VALUE"""),"МОУ ""СОШ №24""")</f>
        <v>МОУ "СОШ №24"</v>
      </c>
      <c r="E75" s="48">
        <f ca="1">IFERROR(__xludf.DUMMYFUNCTION("""COMPUTED_VALUE"""),9)</f>
        <v>9</v>
      </c>
      <c r="F75" s="36" t="str">
        <f ca="1">IFERROR(__xludf.DUMMYFUNCTION("""COMPUTED_VALUE"""),"Моисеева Татьяна Владимировна")</f>
        <v>Моисеева Татьяна Владимировна</v>
      </c>
      <c r="G75" s="48">
        <f ca="1">IFERROR(__xludf.DUMMYFUNCTION("""COMPUTED_VALUE"""),8)</f>
        <v>8</v>
      </c>
      <c r="H75" s="48">
        <f ca="1">IFERROR(__xludf.DUMMYFUNCTION("""COMPUTED_VALUE"""),9)</f>
        <v>9</v>
      </c>
      <c r="I75" s="48">
        <f ca="1">IFERROR(__xludf.DUMMYFUNCTION("""COMPUTED_VALUE"""),1)</f>
        <v>1</v>
      </c>
      <c r="J75" s="48"/>
      <c r="K75" s="47">
        <f t="shared" ca="1" si="2"/>
        <v>18</v>
      </c>
      <c r="L75" s="38"/>
      <c r="M75" s="69">
        <f t="shared" ca="1" si="3"/>
        <v>18</v>
      </c>
      <c r="N75" s="48">
        <v>69</v>
      </c>
      <c r="O75" s="48" t="s">
        <v>83</v>
      </c>
      <c r="P75" s="48"/>
    </row>
    <row r="76" spans="1:16" ht="12.75" x14ac:dyDescent="0.2">
      <c r="A76" s="48">
        <v>70</v>
      </c>
      <c r="B76" s="39" t="str">
        <f ca="1">IFERROR(__xludf.DUMMYFUNCTION("IMPORTRANGE(""https://docs.google.com/spreadsheets/d/16CWr8ky6L0i1S4UOLMYHizeHS6aZnIDEnQPyRJyTpcI/edit#gid=0"", ""СОШ №9!B38:O38"")"),"Шатских Андрей Витальевич")</f>
        <v>Шатских Андрей Витальевич</v>
      </c>
      <c r="C76" s="37"/>
      <c r="D76" s="41" t="str">
        <f ca="1">IFERROR(__xludf.DUMMYFUNCTION("""COMPUTED_VALUE"""),"МОУ СОШ №9")</f>
        <v>МОУ СОШ №9</v>
      </c>
      <c r="E76" s="47">
        <f ca="1">IFERROR(__xludf.DUMMYFUNCTION("""COMPUTED_VALUE"""),9)</f>
        <v>9</v>
      </c>
      <c r="F76" s="37" t="str">
        <f ca="1">IFERROR(__xludf.DUMMYFUNCTION("""COMPUTED_VALUE"""),"Литовченко Любовь Викторовна")</f>
        <v>Литовченко Любовь Викторовна</v>
      </c>
      <c r="G76" s="47">
        <f ca="1">IFERROR(__xludf.DUMMYFUNCTION("""COMPUTED_VALUE"""),5)</f>
        <v>5</v>
      </c>
      <c r="H76" s="47">
        <f ca="1">IFERROR(__xludf.DUMMYFUNCTION("""COMPUTED_VALUE"""),12)</f>
        <v>12</v>
      </c>
      <c r="I76" s="47">
        <f ca="1">IFERROR(__xludf.DUMMYFUNCTION("""COMPUTED_VALUE"""),1)</f>
        <v>1</v>
      </c>
      <c r="J76" s="47"/>
      <c r="K76" s="47">
        <f t="shared" ca="1" si="2"/>
        <v>18</v>
      </c>
      <c r="L76" s="38"/>
      <c r="M76" s="69">
        <f t="shared" ca="1" si="3"/>
        <v>18</v>
      </c>
      <c r="N76" s="47">
        <v>70</v>
      </c>
      <c r="O76" s="48" t="s">
        <v>83</v>
      </c>
      <c r="P76" s="48"/>
    </row>
    <row r="77" spans="1:16" ht="12.75" x14ac:dyDescent="0.2">
      <c r="A77" s="48">
        <v>71</v>
      </c>
      <c r="B77" s="39" t="str">
        <f ca="1">IFERROR(__xludf.DUMMYFUNCTION("IMPORTRANGE(""https://docs.google.com/spreadsheets/d/16CWr8ky6L0i1S4UOLMYHizeHS6aZnIDEnQPyRJyTpcI/edit#gid=0"", ""СОШ №19!B51:O55"")"),"Баша Даниил Николаевич")</f>
        <v>Баша Даниил Николаевич</v>
      </c>
      <c r="C77" s="37"/>
      <c r="D77" s="41" t="str">
        <f ca="1">IFERROR(__xludf.DUMMYFUNCTION("""COMPUTED_VALUE"""),"МОУ ""СОШ №19""")</f>
        <v>МОУ "СОШ №19"</v>
      </c>
      <c r="E77" s="47">
        <f ca="1">IFERROR(__xludf.DUMMYFUNCTION("""COMPUTED_VALUE"""),9)</f>
        <v>9</v>
      </c>
      <c r="F77" s="37" t="str">
        <f ca="1">IFERROR(__xludf.DUMMYFUNCTION("""COMPUTED_VALUE"""),"Карташова Анна Александровна")</f>
        <v>Карташова Анна Александровна</v>
      </c>
      <c r="G77" s="47">
        <f ca="1">IFERROR(__xludf.DUMMYFUNCTION("""COMPUTED_VALUE"""),4)</f>
        <v>4</v>
      </c>
      <c r="H77" s="47">
        <v>12</v>
      </c>
      <c r="I77" s="47">
        <v>2</v>
      </c>
      <c r="J77" s="47"/>
      <c r="K77" s="47">
        <f t="shared" ca="1" si="2"/>
        <v>18</v>
      </c>
      <c r="L77" s="36"/>
      <c r="M77" s="69">
        <f t="shared" ca="1" si="3"/>
        <v>18</v>
      </c>
      <c r="N77" s="48">
        <v>71</v>
      </c>
      <c r="O77" s="48" t="s">
        <v>83</v>
      </c>
      <c r="P77" s="48"/>
    </row>
    <row r="78" spans="1:16" ht="12.75" x14ac:dyDescent="0.2">
      <c r="A78" s="48">
        <v>72</v>
      </c>
      <c r="B78" s="37" t="str">
        <f ca="1">IFERROR(__xludf.DUMMYFUNCTION("""COMPUTED_VALUE"""),"Мысин Владислав Кириллович")</f>
        <v>Мысин Владислав Кириллович</v>
      </c>
      <c r="C78" s="37"/>
      <c r="D78" s="41" t="str">
        <f ca="1">IFERROR(__xludf.DUMMYFUNCTION("""COMPUTED_VALUE"""),"МОУ ""СОШ №19""")</f>
        <v>МОУ "СОШ №19"</v>
      </c>
      <c r="E78" s="47">
        <f ca="1">IFERROR(__xludf.DUMMYFUNCTION("""COMPUTED_VALUE"""),9)</f>
        <v>9</v>
      </c>
      <c r="F78" s="37" t="str">
        <f ca="1">IFERROR(__xludf.DUMMYFUNCTION("""COMPUTED_VALUE"""),"Карташова Анна Александровна")</f>
        <v>Карташова Анна Александровна</v>
      </c>
      <c r="G78" s="47">
        <f ca="1">IFERROR(__xludf.DUMMYFUNCTION("""COMPUTED_VALUE"""),4)</f>
        <v>4</v>
      </c>
      <c r="H78" s="47">
        <v>12</v>
      </c>
      <c r="I78" s="47">
        <v>2</v>
      </c>
      <c r="J78" s="47"/>
      <c r="K78" s="47">
        <f t="shared" ca="1" si="2"/>
        <v>18</v>
      </c>
      <c r="L78" s="36"/>
      <c r="M78" s="69">
        <f t="shared" ca="1" si="3"/>
        <v>18</v>
      </c>
      <c r="N78" s="48">
        <v>72</v>
      </c>
      <c r="O78" s="48" t="s">
        <v>83</v>
      </c>
      <c r="P78" s="48"/>
    </row>
    <row r="79" spans="1:16" ht="12.75" x14ac:dyDescent="0.2">
      <c r="A79" s="47">
        <v>73</v>
      </c>
      <c r="B79" s="37" t="str">
        <f ca="1">IFERROR(__xludf.DUMMYFUNCTION("""COMPUTED_VALUE"""),"Леталин Андрей Юрьевич")</f>
        <v>Леталин Андрей Юрьевич</v>
      </c>
      <c r="C79" s="37"/>
      <c r="D79" s="41" t="str">
        <f ca="1">IFERROR(__xludf.DUMMYFUNCTION("""COMPUTED_VALUE"""),"МОУ ""СОШ №19""")</f>
        <v>МОУ "СОШ №19"</v>
      </c>
      <c r="E79" s="47">
        <f ca="1">IFERROR(__xludf.DUMMYFUNCTION("""COMPUTED_VALUE"""),9)</f>
        <v>9</v>
      </c>
      <c r="F79" s="37" t="str">
        <f ca="1">IFERROR(__xludf.DUMMYFUNCTION("""COMPUTED_VALUE"""),"Карташова Анна Александровна")</f>
        <v>Карташова Анна Александровна</v>
      </c>
      <c r="G79" s="47">
        <f ca="1">IFERROR(__xludf.DUMMYFUNCTION("""COMPUTED_VALUE"""),5)</f>
        <v>5</v>
      </c>
      <c r="H79" s="47">
        <v>11</v>
      </c>
      <c r="I79" s="47">
        <v>1</v>
      </c>
      <c r="J79" s="47"/>
      <c r="K79" s="47">
        <f t="shared" ca="1" si="2"/>
        <v>17</v>
      </c>
      <c r="L79" s="36"/>
      <c r="M79" s="69">
        <f t="shared" ca="1" si="3"/>
        <v>17</v>
      </c>
      <c r="N79" s="47">
        <v>73</v>
      </c>
      <c r="O79" s="48" t="s">
        <v>83</v>
      </c>
      <c r="P79" s="48"/>
    </row>
    <row r="80" spans="1:16" ht="12.75" x14ac:dyDescent="0.2">
      <c r="A80" s="48">
        <v>74</v>
      </c>
      <c r="B80" s="36" t="str">
        <f ca="1">IFERROR(__xludf.DUMMYFUNCTION("""COMPUTED_VALUE"""),"Тулемесова Альбина Аскаровна")</f>
        <v>Тулемесова Альбина Аскаровна</v>
      </c>
      <c r="C80" s="36"/>
      <c r="D80" s="40" t="str">
        <f ca="1">IFERROR(__xludf.DUMMYFUNCTION("""COMPUTED_VALUE"""),"МОУ ""СОШ №4""")</f>
        <v>МОУ "СОШ №4"</v>
      </c>
      <c r="E80" s="48">
        <f ca="1">IFERROR(__xludf.DUMMYFUNCTION("""COMPUTED_VALUE"""),9)</f>
        <v>9</v>
      </c>
      <c r="F80" s="36" t="str">
        <f ca="1">IFERROR(__xludf.DUMMYFUNCTION("""COMPUTED_VALUE"""),"Шевченко Татьяна Петровна")</f>
        <v>Шевченко Татьяна Петровна</v>
      </c>
      <c r="G80" s="48">
        <f ca="1">IFERROR(__xludf.DUMMYFUNCTION("""COMPUTED_VALUE"""),5)</f>
        <v>5</v>
      </c>
      <c r="H80" s="48">
        <f ca="1">IFERROR(__xludf.DUMMYFUNCTION("""COMPUTED_VALUE"""),10)</f>
        <v>10</v>
      </c>
      <c r="I80" s="48">
        <f ca="1">IFERROR(__xludf.DUMMYFUNCTION("""COMPUTED_VALUE"""),2)</f>
        <v>2</v>
      </c>
      <c r="J80" s="48"/>
      <c r="K80" s="47">
        <f t="shared" ca="1" si="2"/>
        <v>17</v>
      </c>
      <c r="L80" s="38"/>
      <c r="M80" s="69">
        <f t="shared" ca="1" si="3"/>
        <v>17</v>
      </c>
      <c r="N80" s="48">
        <v>74</v>
      </c>
      <c r="O80" s="48" t="s">
        <v>83</v>
      </c>
      <c r="P80" s="48"/>
    </row>
    <row r="81" spans="1:16" ht="12.75" x14ac:dyDescent="0.2">
      <c r="A81" s="48">
        <v>75</v>
      </c>
      <c r="B81" s="36" t="str">
        <f ca="1">IFERROR(__xludf.DUMMYFUNCTION("""COMPUTED_VALUE"""),"Жусубалиева Камила Маратовна")</f>
        <v>Жусубалиева Камила Маратовна</v>
      </c>
      <c r="C81" s="36"/>
      <c r="D81" s="40" t="str">
        <f ca="1">IFERROR(__xludf.DUMMYFUNCTION("""COMPUTED_VALUE"""),"МОУ ""СОШ №9""")</f>
        <v>МОУ "СОШ №9"</v>
      </c>
      <c r="E81" s="48">
        <f ca="1">IFERROR(__xludf.DUMMYFUNCTION("""COMPUTED_VALUE"""),9)</f>
        <v>9</v>
      </c>
      <c r="F81" s="36" t="str">
        <f ca="1">IFERROR(__xludf.DUMMYFUNCTION("""COMPUTED_VALUE"""),"Литовченко Любовь Викторовна")</f>
        <v>Литовченко Любовь Викторовна</v>
      </c>
      <c r="G81" s="48">
        <f ca="1">IFERROR(__xludf.DUMMYFUNCTION("""COMPUTED_VALUE"""),5)</f>
        <v>5</v>
      </c>
      <c r="H81" s="48">
        <f ca="1">IFERROR(__xludf.DUMMYFUNCTION("""COMPUTED_VALUE"""),11)</f>
        <v>11</v>
      </c>
      <c r="I81" s="48">
        <f ca="1">IFERROR(__xludf.DUMMYFUNCTION("""COMPUTED_VALUE"""),1)</f>
        <v>1</v>
      </c>
      <c r="J81" s="48"/>
      <c r="K81" s="47">
        <f t="shared" ca="1" si="2"/>
        <v>17</v>
      </c>
      <c r="L81" s="38"/>
      <c r="M81" s="69">
        <f t="shared" ca="1" si="3"/>
        <v>17</v>
      </c>
      <c r="N81" s="48">
        <v>75</v>
      </c>
      <c r="O81" s="48" t="s">
        <v>83</v>
      </c>
      <c r="P81" s="48"/>
    </row>
    <row r="82" spans="1:16" ht="12.75" x14ac:dyDescent="0.2">
      <c r="A82" s="48">
        <v>76</v>
      </c>
      <c r="B82" s="36" t="str">
        <f ca="1">IFERROR(__xludf.DUMMYFUNCTION("IMPORTRANGE(""https://docs.google.com/spreadsheets/d/16CWr8ky6L0i1S4UOLMYHizeHS6aZnIDEnQPyRJyTpcI/edit#gid=0"", ""СОШ №19!B23:O27"")"),"Джумалиев Самат Маратович")</f>
        <v>Джумалиев Самат Маратович</v>
      </c>
      <c r="C82" s="36"/>
      <c r="D82" s="40" t="str">
        <f ca="1">IFERROR(__xludf.DUMMYFUNCTION("""COMPUTED_VALUE"""),"МОУ ""СОШ №19""")</f>
        <v>МОУ "СОШ №19"</v>
      </c>
      <c r="E82" s="48">
        <f ca="1">IFERROR(__xludf.DUMMYFUNCTION("""COMPUTED_VALUE"""),9)</f>
        <v>9</v>
      </c>
      <c r="F82" s="36" t="str">
        <f ca="1">IFERROR(__xludf.DUMMYFUNCTION("""COMPUTED_VALUE"""),"Карташова Анна Александровна")</f>
        <v>Карташова Анна Александровна</v>
      </c>
      <c r="G82" s="48">
        <f ca="1">IFERROR(__xludf.DUMMYFUNCTION("""COMPUTED_VALUE"""),4)</f>
        <v>4</v>
      </c>
      <c r="H82" s="48">
        <v>11</v>
      </c>
      <c r="I82" s="48">
        <v>2</v>
      </c>
      <c r="J82" s="48"/>
      <c r="K82" s="47">
        <f t="shared" ca="1" si="2"/>
        <v>17</v>
      </c>
      <c r="L82" s="36"/>
      <c r="M82" s="69">
        <f t="shared" ca="1" si="3"/>
        <v>17</v>
      </c>
      <c r="N82" s="47">
        <v>76</v>
      </c>
      <c r="O82" s="48" t="s">
        <v>83</v>
      </c>
      <c r="P82" s="48"/>
    </row>
    <row r="83" spans="1:16" ht="12.75" x14ac:dyDescent="0.2">
      <c r="A83" s="47">
        <v>77</v>
      </c>
      <c r="B83" s="36" t="str">
        <f ca="1">IFERROR(__xludf.DUMMYFUNCTION("""COMPUTED_VALUE"""),"Хохулин  Александр Иванович")</f>
        <v>Хохулин  Александр Иванович</v>
      </c>
      <c r="C83" s="36"/>
      <c r="D83" s="40" t="str">
        <f ca="1">IFERROR(__xludf.DUMMYFUNCTION("""COMPUTED_VALUE"""),"МОУ ""СОШ №19""")</f>
        <v>МОУ "СОШ №19"</v>
      </c>
      <c r="E83" s="48">
        <f ca="1">IFERROR(__xludf.DUMMYFUNCTION("""COMPUTED_VALUE"""),9)</f>
        <v>9</v>
      </c>
      <c r="F83" s="36" t="str">
        <f ca="1">IFERROR(__xludf.DUMMYFUNCTION("""COMPUTED_VALUE"""),"Карташова Анна Александровна")</f>
        <v>Карташова Анна Александровна</v>
      </c>
      <c r="G83" s="48">
        <f ca="1">IFERROR(__xludf.DUMMYFUNCTION("""COMPUTED_VALUE"""),4)</f>
        <v>4</v>
      </c>
      <c r="H83" s="48">
        <v>11</v>
      </c>
      <c r="I83" s="48">
        <v>2</v>
      </c>
      <c r="J83" s="48"/>
      <c r="K83" s="47">
        <f t="shared" ca="1" si="2"/>
        <v>17</v>
      </c>
      <c r="L83" s="36"/>
      <c r="M83" s="69">
        <f t="shared" ca="1" si="3"/>
        <v>17</v>
      </c>
      <c r="N83" s="48">
        <v>77</v>
      </c>
      <c r="O83" s="48" t="s">
        <v>83</v>
      </c>
      <c r="P83" s="48"/>
    </row>
    <row r="84" spans="1:16" ht="12.75" x14ac:dyDescent="0.2">
      <c r="A84" s="48">
        <v>78</v>
      </c>
      <c r="B84" s="36" t="str">
        <f ca="1">IFERROR(__xludf.DUMMYFUNCTION("""COMPUTED_VALUE"""),"Путятин Данила Алексеевич")</f>
        <v>Путятин Данила Алексеевич</v>
      </c>
      <c r="C84" s="36"/>
      <c r="D84" s="40" t="str">
        <f ca="1">IFERROR(__xludf.DUMMYFUNCTION("""COMPUTED_VALUE"""),"МОУ ""СОШ №24""")</f>
        <v>МОУ "СОШ №24"</v>
      </c>
      <c r="E84" s="48">
        <f ca="1">IFERROR(__xludf.DUMMYFUNCTION("""COMPUTED_VALUE"""),9)</f>
        <v>9</v>
      </c>
      <c r="F84" s="36" t="str">
        <f ca="1">IFERROR(__xludf.DUMMYFUNCTION("""COMPUTED_VALUE"""),"Моисеева Татьяна Владимировна")</f>
        <v>Моисеева Татьяна Владимировна</v>
      </c>
      <c r="G84" s="48">
        <f ca="1">IFERROR(__xludf.DUMMYFUNCTION("""COMPUTED_VALUE"""),6)</f>
        <v>6</v>
      </c>
      <c r="H84" s="48">
        <f ca="1">IFERROR(__xludf.DUMMYFUNCTION("""COMPUTED_VALUE"""),8)</f>
        <v>8</v>
      </c>
      <c r="I84" s="48">
        <f ca="1">IFERROR(__xludf.DUMMYFUNCTION("""COMPUTED_VALUE"""),3)</f>
        <v>3</v>
      </c>
      <c r="J84" s="48"/>
      <c r="K84" s="47">
        <f t="shared" ca="1" si="2"/>
        <v>17</v>
      </c>
      <c r="L84" s="38"/>
      <c r="M84" s="69">
        <f t="shared" ca="1" si="3"/>
        <v>17</v>
      </c>
      <c r="N84" s="48">
        <v>78</v>
      </c>
      <c r="O84" s="48" t="s">
        <v>83</v>
      </c>
      <c r="P84" s="48"/>
    </row>
    <row r="85" spans="1:16" ht="12.75" x14ac:dyDescent="0.2">
      <c r="A85" s="48">
        <v>79</v>
      </c>
      <c r="B85" s="36" t="str">
        <f ca="1">IFERROR(__xludf.DUMMYFUNCTION("""COMPUTED_VALUE"""),"Резаева Анастасия Витальевна")</f>
        <v>Резаева Анастасия Витальевна</v>
      </c>
      <c r="C85" s="36"/>
      <c r="D85" s="40" t="str">
        <f ca="1">IFERROR(__xludf.DUMMYFUNCTION("""COMPUTED_VALUE"""),"МОУ ""СОШ №24""")</f>
        <v>МОУ "СОШ №24"</v>
      </c>
      <c r="E85" s="48">
        <f ca="1">IFERROR(__xludf.DUMMYFUNCTION("""COMPUTED_VALUE"""),9)</f>
        <v>9</v>
      </c>
      <c r="F85" s="36" t="str">
        <f ca="1">IFERROR(__xludf.DUMMYFUNCTION("""COMPUTED_VALUE"""),"Моисеева Татьяна Владимировна")</f>
        <v>Моисеева Татьяна Владимировна</v>
      </c>
      <c r="G85" s="48">
        <f ca="1">IFERROR(__xludf.DUMMYFUNCTION("""COMPUTED_VALUE"""),6)</f>
        <v>6</v>
      </c>
      <c r="H85" s="48">
        <f ca="1">IFERROR(__xludf.DUMMYFUNCTION("""COMPUTED_VALUE"""),9)</f>
        <v>9</v>
      </c>
      <c r="I85" s="48">
        <f ca="1">IFERROR(__xludf.DUMMYFUNCTION("""COMPUTED_VALUE"""),2)</f>
        <v>2</v>
      </c>
      <c r="J85" s="48"/>
      <c r="K85" s="47">
        <f t="shared" ca="1" si="2"/>
        <v>17</v>
      </c>
      <c r="L85" s="38"/>
      <c r="M85" s="69">
        <f t="shared" ca="1" si="3"/>
        <v>17</v>
      </c>
      <c r="N85" s="47">
        <v>79</v>
      </c>
      <c r="O85" s="48" t="s">
        <v>83</v>
      </c>
      <c r="P85" s="48"/>
    </row>
    <row r="86" spans="1:16" ht="12.75" x14ac:dyDescent="0.2">
      <c r="A86" s="48">
        <v>80</v>
      </c>
      <c r="B86" s="37" t="str">
        <f ca="1">IFERROR(__xludf.DUMMYFUNCTION("""COMPUTED_VALUE"""),"Тарабрина Анна Витальевна")</f>
        <v>Тарабрина Анна Витальевна</v>
      </c>
      <c r="C86" s="37"/>
      <c r="D86" s="41" t="str">
        <f ca="1">IFERROR(__xludf.DUMMYFUNCTION("""COMPUTED_VALUE"""),"МОУ ""СОШ №19""")</f>
        <v>МОУ "СОШ №19"</v>
      </c>
      <c r="E86" s="47">
        <f ca="1">IFERROR(__xludf.DUMMYFUNCTION("""COMPUTED_VALUE"""),9)</f>
        <v>9</v>
      </c>
      <c r="F86" s="37" t="str">
        <f ca="1">IFERROR(__xludf.DUMMYFUNCTION("""COMPUTED_VALUE"""),"Карташова Анна Александровна")</f>
        <v>Карташова Анна Александровна</v>
      </c>
      <c r="G86" s="47">
        <f ca="1">IFERROR(__xludf.DUMMYFUNCTION("""COMPUTED_VALUE"""),4)</f>
        <v>4</v>
      </c>
      <c r="H86" s="47">
        <v>12</v>
      </c>
      <c r="I86" s="47">
        <v>1</v>
      </c>
      <c r="J86" s="47"/>
      <c r="K86" s="47">
        <f t="shared" ca="1" si="2"/>
        <v>17</v>
      </c>
      <c r="L86" s="36"/>
      <c r="M86" s="69">
        <f t="shared" ca="1" si="3"/>
        <v>17</v>
      </c>
      <c r="N86" s="48">
        <v>80</v>
      </c>
      <c r="O86" s="48" t="s">
        <v>83</v>
      </c>
      <c r="P86" s="48"/>
    </row>
    <row r="87" spans="1:16" ht="12.75" x14ac:dyDescent="0.2">
      <c r="A87" s="47">
        <v>81</v>
      </c>
      <c r="B87" s="37" t="str">
        <f ca="1">IFERROR(__xludf.DUMMYFUNCTION("""COMPUTED_VALUE"""),"Липаев Владислав Сергеевич")</f>
        <v>Липаев Владислав Сергеевич</v>
      </c>
      <c r="C87" s="37"/>
      <c r="D87" s="41" t="str">
        <f ca="1">IFERROR(__xludf.DUMMYFUNCTION("""COMPUTED_VALUE"""),"МОУ ""СОШ №19""")</f>
        <v>МОУ "СОШ №19"</v>
      </c>
      <c r="E87" s="47">
        <f ca="1">IFERROR(__xludf.DUMMYFUNCTION("""COMPUTED_VALUE"""),9)</f>
        <v>9</v>
      </c>
      <c r="F87" s="37" t="str">
        <f ca="1">IFERROR(__xludf.DUMMYFUNCTION("""COMPUTED_VALUE"""),"Карташова Анна Александровна")</f>
        <v>Карташова Анна Александровна</v>
      </c>
      <c r="G87" s="47">
        <f ca="1">IFERROR(__xludf.DUMMYFUNCTION("""COMPUTED_VALUE"""),4)</f>
        <v>4</v>
      </c>
      <c r="H87" s="47">
        <v>10</v>
      </c>
      <c r="I87" s="47">
        <v>3</v>
      </c>
      <c r="J87" s="47"/>
      <c r="K87" s="47">
        <f t="shared" ca="1" si="2"/>
        <v>17</v>
      </c>
      <c r="L87" s="36"/>
      <c r="M87" s="69">
        <f t="shared" ca="1" si="3"/>
        <v>17</v>
      </c>
      <c r="N87" s="48">
        <v>81</v>
      </c>
      <c r="O87" s="48" t="s">
        <v>83</v>
      </c>
      <c r="P87" s="48"/>
    </row>
    <row r="88" spans="1:16" ht="12.75" x14ac:dyDescent="0.2">
      <c r="A88" s="48">
        <v>82</v>
      </c>
      <c r="B88" s="39" t="str">
        <f ca="1">IFERROR(__xludf.DUMMYFUNCTION("IMPORTRANGE(""https://docs.google.com/spreadsheets/d/16CWr8ky6L0i1S4UOLMYHizeHS6aZnIDEnQPyRJyTpcI/edit#gid=0"", ""СОШ №9!B23:O27"")"),"Рычагов Виталий Андреевич")</f>
        <v>Рычагов Виталий Андреевич</v>
      </c>
      <c r="C88" s="36"/>
      <c r="D88" s="40" t="str">
        <f ca="1">IFERROR(__xludf.DUMMYFUNCTION("""COMPUTED_VALUE"""),"МОУ ""СОШ №9""")</f>
        <v>МОУ "СОШ №9"</v>
      </c>
      <c r="E88" s="48">
        <f ca="1">IFERROR(__xludf.DUMMYFUNCTION("""COMPUTED_VALUE"""),9)</f>
        <v>9</v>
      </c>
      <c r="F88" s="36" t="str">
        <f ca="1">IFERROR(__xludf.DUMMYFUNCTION("""COMPUTED_VALUE"""),"Литовченко Любовь Викторовна")</f>
        <v>Литовченко Любовь Викторовна</v>
      </c>
      <c r="G88" s="48">
        <f ca="1">IFERROR(__xludf.DUMMYFUNCTION("""COMPUTED_VALUE"""),5)</f>
        <v>5</v>
      </c>
      <c r="H88" s="48">
        <f ca="1">IFERROR(__xludf.DUMMYFUNCTION("""COMPUTED_VALUE"""),10)</f>
        <v>10</v>
      </c>
      <c r="I88" s="48">
        <f ca="1">IFERROR(__xludf.DUMMYFUNCTION("""COMPUTED_VALUE"""),1)</f>
        <v>1</v>
      </c>
      <c r="J88" s="48"/>
      <c r="K88" s="47">
        <f t="shared" ca="1" si="2"/>
        <v>16</v>
      </c>
      <c r="L88" s="38"/>
      <c r="M88" s="69">
        <f t="shared" ca="1" si="3"/>
        <v>16</v>
      </c>
      <c r="N88" s="47">
        <v>82</v>
      </c>
      <c r="O88" s="48" t="s">
        <v>88</v>
      </c>
      <c r="P88" s="48"/>
    </row>
    <row r="89" spans="1:16" ht="12.75" x14ac:dyDescent="0.2">
      <c r="A89" s="48">
        <v>83</v>
      </c>
      <c r="B89" s="36" t="str">
        <f ca="1">IFERROR(__xludf.DUMMYFUNCTION("""COMPUTED_VALUE"""),"Никитин Константин Александрович")</f>
        <v>Никитин Константин Александрович</v>
      </c>
      <c r="C89" s="36"/>
      <c r="D89" s="40" t="str">
        <f ca="1">IFERROR(__xludf.DUMMYFUNCTION("""COMPUTED_VALUE"""),"МОУ ""СОШ №9""")</f>
        <v>МОУ "СОШ №9"</v>
      </c>
      <c r="E89" s="48">
        <f ca="1">IFERROR(__xludf.DUMMYFUNCTION("""COMPUTED_VALUE"""),9)</f>
        <v>9</v>
      </c>
      <c r="F89" s="36" t="str">
        <f ca="1">IFERROR(__xludf.DUMMYFUNCTION("""COMPUTED_VALUE"""),"Литовченко Любовь Викторовна")</f>
        <v>Литовченко Любовь Викторовна</v>
      </c>
      <c r="G89" s="48">
        <f ca="1">IFERROR(__xludf.DUMMYFUNCTION("""COMPUTED_VALUE"""),5)</f>
        <v>5</v>
      </c>
      <c r="H89" s="48">
        <f ca="1">IFERROR(__xludf.DUMMYFUNCTION("""COMPUTED_VALUE"""),10)</f>
        <v>10</v>
      </c>
      <c r="I89" s="48">
        <f ca="1">IFERROR(__xludf.DUMMYFUNCTION("""COMPUTED_VALUE"""),1)</f>
        <v>1</v>
      </c>
      <c r="J89" s="48"/>
      <c r="K89" s="47">
        <f t="shared" ca="1" si="2"/>
        <v>16</v>
      </c>
      <c r="L89" s="38"/>
      <c r="M89" s="69">
        <f t="shared" ca="1" si="3"/>
        <v>16</v>
      </c>
      <c r="N89" s="48">
        <v>83</v>
      </c>
      <c r="O89" s="48" t="s">
        <v>88</v>
      </c>
      <c r="P89" s="48"/>
    </row>
    <row r="90" spans="1:16" ht="12.75" x14ac:dyDescent="0.2">
      <c r="A90" s="48">
        <v>84</v>
      </c>
      <c r="B90" s="39" t="str">
        <f ca="1">IFERROR(__xludf.DUMMYFUNCTION("IMPORTRANGE(""https://docs.google.com/spreadsheets/d/16CWr8ky6L0i1S4UOLMYHizeHS6aZnIDEnQPyRJyTpcI/edit#gid=0"", ""СОШ №24!B23:O27"")"),"Ефремова Анна Михайловна")</f>
        <v>Ефремова Анна Михайловна</v>
      </c>
      <c r="C90" s="36"/>
      <c r="D90" s="40" t="str">
        <f ca="1">IFERROR(__xludf.DUMMYFUNCTION("""COMPUTED_VALUE"""),"МОУ ""СОШ №24""")</f>
        <v>МОУ "СОШ №24"</v>
      </c>
      <c r="E90" s="48">
        <f ca="1">IFERROR(__xludf.DUMMYFUNCTION("""COMPUTED_VALUE"""),9)</f>
        <v>9</v>
      </c>
      <c r="F90" s="36" t="str">
        <f ca="1">IFERROR(__xludf.DUMMYFUNCTION("""COMPUTED_VALUE"""),"Моисеева Татьяна Владимировна")</f>
        <v>Моисеева Татьяна Владимировна</v>
      </c>
      <c r="G90" s="48">
        <f ca="1">IFERROR(__xludf.DUMMYFUNCTION("""COMPUTED_VALUE"""),5)</f>
        <v>5</v>
      </c>
      <c r="H90" s="48">
        <f ca="1">IFERROR(__xludf.DUMMYFUNCTION("""COMPUTED_VALUE"""),10)</f>
        <v>10</v>
      </c>
      <c r="I90" s="48">
        <f ca="1">IFERROR(__xludf.DUMMYFUNCTION("""COMPUTED_VALUE"""),1)</f>
        <v>1</v>
      </c>
      <c r="J90" s="48"/>
      <c r="K90" s="47">
        <f t="shared" ca="1" si="2"/>
        <v>16</v>
      </c>
      <c r="L90" s="38"/>
      <c r="M90" s="69">
        <f t="shared" ca="1" si="3"/>
        <v>16</v>
      </c>
      <c r="N90" s="48">
        <v>84</v>
      </c>
      <c r="O90" s="48" t="s">
        <v>88</v>
      </c>
      <c r="P90" s="48"/>
    </row>
    <row r="91" spans="1:16" ht="12.75" x14ac:dyDescent="0.2">
      <c r="A91" s="47">
        <v>85</v>
      </c>
      <c r="B91" s="39" t="str">
        <f ca="1">IFERROR(__xludf.DUMMYFUNCTION("IMPORTRANGE(""https://docs.google.com/spreadsheets/d/16CWr8ky6L0i1S4UOLMYHizeHS6aZnIDEnQPyRJyTpcI/edit#gid=0"", ""ООШ п. Прибрежный!B23:O27"")"),"Самойлов Никита Алексеевич")</f>
        <v>Самойлов Никита Алексеевич</v>
      </c>
      <c r="C91" s="37"/>
      <c r="D91" s="41" t="str">
        <f ca="1">IFERROR(__xludf.DUMMYFUNCTION("""COMPUTED_VALUE"""),"МОУ ""ООШ п. Прибрежный""")</f>
        <v>МОУ "ООШ п. Прибрежный"</v>
      </c>
      <c r="E91" s="47">
        <f ca="1">IFERROR(__xludf.DUMMYFUNCTION("""COMPUTED_VALUE"""),9)</f>
        <v>9</v>
      </c>
      <c r="F91" s="37" t="str">
        <f ca="1">IFERROR(__xludf.DUMMYFUNCTION("""COMPUTED_VALUE"""),"Пономарева Надежда анатольевна")</f>
        <v>Пономарева Надежда анатольевна</v>
      </c>
      <c r="G91" s="47">
        <f ca="1">IFERROR(__xludf.DUMMYFUNCTION("""COMPUTED_VALUE"""),5)</f>
        <v>5</v>
      </c>
      <c r="H91" s="47">
        <f ca="1">IFERROR(__xludf.DUMMYFUNCTION("""COMPUTED_VALUE"""),8)</f>
        <v>8</v>
      </c>
      <c r="I91" s="47">
        <f ca="1">IFERROR(__xludf.DUMMYFUNCTION("""COMPUTED_VALUE"""),3)</f>
        <v>3</v>
      </c>
      <c r="J91" s="47"/>
      <c r="K91" s="47">
        <f t="shared" ca="1" si="2"/>
        <v>16</v>
      </c>
      <c r="L91" s="38"/>
      <c r="M91" s="69">
        <f t="shared" ca="1" si="3"/>
        <v>16</v>
      </c>
      <c r="N91" s="47">
        <v>85</v>
      </c>
      <c r="O91" s="48" t="s">
        <v>88</v>
      </c>
      <c r="P91" s="48"/>
    </row>
    <row r="92" spans="1:16" ht="15.75" customHeight="1" x14ac:dyDescent="0.2">
      <c r="E92" s="32"/>
    </row>
  </sheetData>
  <sortState ref="A3:S347">
    <sortCondition descending="1" ref="K3:K347"/>
  </sortState>
  <mergeCells count="11">
    <mergeCell ref="A2:R2"/>
    <mergeCell ref="A3:R3"/>
    <mergeCell ref="A4:R4"/>
    <mergeCell ref="O5:P5"/>
    <mergeCell ref="G5:I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U49"/>
  <sheetViews>
    <sheetView topLeftCell="G1" workbookViewId="0">
      <selection activeCell="U6" sqref="U6:U17"/>
    </sheetView>
  </sheetViews>
  <sheetFormatPr defaultColWidth="14.42578125" defaultRowHeight="15.75" customHeight="1" x14ac:dyDescent="0.2"/>
  <cols>
    <col min="1" max="1" width="7" customWidth="1"/>
    <col min="2" max="2" width="40.5703125" customWidth="1"/>
    <col min="3" max="3" width="12.85546875" customWidth="1"/>
    <col min="4" max="4" width="23.42578125" customWidth="1"/>
    <col min="5" max="5" width="9.85546875" customWidth="1"/>
    <col min="6" max="6" width="34.5703125" customWidth="1"/>
    <col min="7" max="11" width="10.85546875" customWidth="1"/>
    <col min="12" max="14" width="10.85546875" hidden="1" customWidth="1"/>
    <col min="20" max="20" width="33.5703125" customWidth="1"/>
  </cols>
  <sheetData>
    <row r="2" spans="1:21" ht="15.75" customHeight="1" x14ac:dyDescent="0.25">
      <c r="A2" s="121" t="s">
        <v>101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21"/>
    </row>
    <row r="3" spans="1:21" ht="15.75" customHeight="1" x14ac:dyDescent="0.25">
      <c r="A3" s="108" t="s">
        <v>102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77"/>
    </row>
    <row r="4" spans="1:21" ht="15.75" customHeight="1" x14ac:dyDescent="0.25">
      <c r="A4" s="122" t="s">
        <v>104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08"/>
      <c r="T4" s="77"/>
    </row>
    <row r="5" spans="1:21" ht="12.75" customHeight="1" x14ac:dyDescent="0.2">
      <c r="A5" s="81" t="s">
        <v>0</v>
      </c>
      <c r="B5" s="81" t="s">
        <v>1</v>
      </c>
      <c r="C5" s="123" t="s">
        <v>2</v>
      </c>
      <c r="D5" s="81" t="s">
        <v>3</v>
      </c>
      <c r="E5" s="81" t="s">
        <v>4</v>
      </c>
      <c r="F5" s="81" t="s">
        <v>5</v>
      </c>
      <c r="G5" s="82" t="s">
        <v>6</v>
      </c>
      <c r="H5" s="83"/>
      <c r="I5" s="83"/>
      <c r="J5" s="83"/>
      <c r="K5" s="83"/>
      <c r="L5" s="84"/>
      <c r="M5" s="22"/>
      <c r="N5" s="22"/>
      <c r="O5" s="80" t="s">
        <v>12</v>
      </c>
      <c r="P5" s="80" t="s">
        <v>8</v>
      </c>
      <c r="Q5" s="80" t="s">
        <v>9</v>
      </c>
      <c r="R5" s="80" t="s">
        <v>10</v>
      </c>
      <c r="S5" s="120" t="s">
        <v>11</v>
      </c>
      <c r="T5" s="120"/>
    </row>
    <row r="6" spans="1:21" ht="12.75" x14ac:dyDescent="0.2">
      <c r="A6" s="99"/>
      <c r="B6" s="99"/>
      <c r="C6" s="124"/>
      <c r="D6" s="99"/>
      <c r="E6" s="99"/>
      <c r="F6" s="99"/>
      <c r="G6" s="100" t="s">
        <v>48</v>
      </c>
      <c r="H6" s="100" t="s">
        <v>76</v>
      </c>
      <c r="I6" s="100" t="s">
        <v>77</v>
      </c>
      <c r="J6" s="100" t="s">
        <v>78</v>
      </c>
      <c r="K6" s="100" t="s">
        <v>79</v>
      </c>
      <c r="L6" s="100"/>
      <c r="M6" s="100"/>
      <c r="N6" s="100"/>
      <c r="O6" s="100" t="s">
        <v>72</v>
      </c>
      <c r="P6" s="100"/>
      <c r="Q6" s="100"/>
      <c r="R6" s="100">
        <v>1</v>
      </c>
      <c r="S6" s="80"/>
      <c r="T6" s="80"/>
      <c r="U6" s="101" t="s">
        <v>135</v>
      </c>
    </row>
    <row r="7" spans="1:21" ht="12.75" x14ac:dyDescent="0.2">
      <c r="A7" s="49">
        <v>1</v>
      </c>
      <c r="B7" s="71" t="str">
        <f ca="1">IFERROR(__xludf.DUMMYFUNCTION("IMPORTRANGE(""https://docs.google.com/spreadsheets/d/16CWr8ky6L0i1S4UOLMYHizeHS6aZnIDEnQPyRJyTpcI/edit#gid=0"", ""СОШ п. Новопушкинское!B28:O32"")"),"Стегалкина Анастасия Васильевна")</f>
        <v>Стегалкина Анастасия Васильевна</v>
      </c>
      <c r="C7" s="66"/>
      <c r="D7" s="73" t="str">
        <f ca="1">IFERROR(__xludf.DUMMYFUNCTION("""COMPUTED_VALUE"""),"МОУ ""СОШ п. Новопушкинское""")</f>
        <v>МОУ "СОШ п. Новопушкинское"</v>
      </c>
      <c r="E7" s="47">
        <f ca="1">IFERROR(__xludf.DUMMYFUNCTION("""COMPUTED_VALUE"""),10)</f>
        <v>10</v>
      </c>
      <c r="F7" s="66" t="str">
        <f ca="1">IFERROR(__xludf.DUMMYFUNCTION("""COMPUTED_VALUE"""),"Юшенова лариса Николаевна")</f>
        <v>Юшенова лариса Николаевна</v>
      </c>
      <c r="G7" s="47">
        <f ca="1">IFERROR(__xludf.DUMMYFUNCTION("""COMPUTED_VALUE"""),7)</f>
        <v>7</v>
      </c>
      <c r="H7" s="47">
        <f ca="1">IFERROR(__xludf.DUMMYFUNCTION("""COMPUTED_VALUE"""),8)</f>
        <v>8</v>
      </c>
      <c r="I7" s="47">
        <f ca="1">IFERROR(__xludf.DUMMYFUNCTION("""COMPUTED_VALUE"""),7)</f>
        <v>7</v>
      </c>
      <c r="J7" s="47">
        <f ca="1">IFERROR(__xludf.DUMMYFUNCTION("""COMPUTED_VALUE"""),4)</f>
        <v>4</v>
      </c>
      <c r="K7" s="47">
        <f ca="1">IFERROR(__xludf.DUMMYFUNCTION("""COMPUTED_VALUE"""),3)</f>
        <v>3</v>
      </c>
      <c r="L7" s="47"/>
      <c r="M7" s="47"/>
      <c r="N7" s="47"/>
      <c r="O7" s="47">
        <f ca="1">SUM(G7:K7)</f>
        <v>29</v>
      </c>
      <c r="P7" s="47"/>
      <c r="Q7" s="47">
        <f ca="1">O7</f>
        <v>29</v>
      </c>
      <c r="R7" s="47">
        <v>1</v>
      </c>
      <c r="S7" s="47" t="s">
        <v>82</v>
      </c>
      <c r="T7" s="47" t="s">
        <v>109</v>
      </c>
      <c r="U7" s="30" t="s">
        <v>73</v>
      </c>
    </row>
    <row r="8" spans="1:21" ht="12.75" x14ac:dyDescent="0.2">
      <c r="A8" s="49">
        <v>2</v>
      </c>
      <c r="B8" s="70" t="str">
        <f ca="1">IFERROR(__xludf.DUMMYFUNCTION("""COMPUTED_VALUE"""),"Маличенко София Владиславовна")</f>
        <v>Маличенко София Владиславовна</v>
      </c>
      <c r="C8" s="70"/>
      <c r="D8" s="72" t="str">
        <f ca="1">IFERROR(__xludf.DUMMYFUNCTION("""COMPUTED_VALUE"""),"МОУ ""СОШ №33""")</f>
        <v>МОУ "СОШ №33"</v>
      </c>
      <c r="E8" s="48">
        <f ca="1">IFERROR(__xludf.DUMMYFUNCTION("""COMPUTED_VALUE"""),10)</f>
        <v>10</v>
      </c>
      <c r="F8" s="70" t="str">
        <f ca="1">IFERROR(__xludf.DUMMYFUNCTION("""COMPUTED_VALUE"""),"Чермашенцева Анжела Сергеевна")</f>
        <v>Чермашенцева Анжела Сергеевна</v>
      </c>
      <c r="G8" s="48">
        <f ca="1">IFERROR(__xludf.DUMMYFUNCTION("""COMPUTED_VALUE"""),8)</f>
        <v>8</v>
      </c>
      <c r="H8" s="48">
        <f ca="1">IFERROR(__xludf.DUMMYFUNCTION("""COMPUTED_VALUE"""),7)</f>
        <v>7</v>
      </c>
      <c r="I8" s="48">
        <f ca="1">IFERROR(__xludf.DUMMYFUNCTION("""COMPUTED_VALUE"""),8)</f>
        <v>8</v>
      </c>
      <c r="J8" s="48">
        <f ca="1">IFERROR(__xludf.DUMMYFUNCTION("""COMPUTED_VALUE"""),4)</f>
        <v>4</v>
      </c>
      <c r="K8" s="48">
        <f ca="1">IFERROR(__xludf.DUMMYFUNCTION("""COMPUTED_VALUE"""),1)</f>
        <v>1</v>
      </c>
      <c r="L8" s="48"/>
      <c r="M8" s="48"/>
      <c r="N8" s="48"/>
      <c r="O8" s="47">
        <f t="shared" ref="O8:O49" ca="1" si="0">SUM(G8:K8)</f>
        <v>28</v>
      </c>
      <c r="P8" s="48"/>
      <c r="Q8" s="47">
        <f t="shared" ref="Q8:Q49" ca="1" si="1">O8</f>
        <v>28</v>
      </c>
      <c r="R8" s="48">
        <v>2</v>
      </c>
      <c r="S8" s="48" t="s">
        <v>82</v>
      </c>
      <c r="T8" s="47" t="s">
        <v>109</v>
      </c>
      <c r="U8" s="30" t="s">
        <v>74</v>
      </c>
    </row>
    <row r="9" spans="1:21" ht="12.75" x14ac:dyDescent="0.2">
      <c r="A9" s="49">
        <v>3</v>
      </c>
      <c r="B9" s="70" t="str">
        <f ca="1">IFERROR(__xludf.DUMMYFUNCTION("""COMPUTED_VALUE"""),"Фомина Юлия Олеговна")</f>
        <v>Фомина Юлия Олеговна</v>
      </c>
      <c r="C9" s="70"/>
      <c r="D9" s="72" t="str">
        <f ca="1">IFERROR(__xludf.DUMMYFUNCTION("""COMPUTED_VALUE"""),"МОУ ""СОШ №4""")</f>
        <v>МОУ "СОШ №4"</v>
      </c>
      <c r="E9" s="48">
        <f ca="1">IFERROR(__xludf.DUMMYFUNCTION("""COMPUTED_VALUE"""),10)</f>
        <v>10</v>
      </c>
      <c r="F9" s="70" t="str">
        <f ca="1">IFERROR(__xludf.DUMMYFUNCTION("""COMPUTED_VALUE"""),"Шевченко Татьяна Петровна")</f>
        <v>Шевченко Татьяна Петровна</v>
      </c>
      <c r="G9" s="48">
        <f ca="1">IFERROR(__xludf.DUMMYFUNCTION("""COMPUTED_VALUE"""),6)</f>
        <v>6</v>
      </c>
      <c r="H9" s="48">
        <f ca="1">IFERROR(__xludf.DUMMYFUNCTION("""COMPUTED_VALUE"""),7)</f>
        <v>7</v>
      </c>
      <c r="I9" s="48">
        <f ca="1">IFERROR(__xludf.DUMMYFUNCTION("""COMPUTED_VALUE"""),8)</f>
        <v>8</v>
      </c>
      <c r="J9" s="48">
        <f ca="1">IFERROR(__xludf.DUMMYFUNCTION("""COMPUTED_VALUE"""),4)</f>
        <v>4</v>
      </c>
      <c r="K9" s="48">
        <f ca="1">IFERROR(__xludf.DUMMYFUNCTION("""COMPUTED_VALUE"""),2)</f>
        <v>2</v>
      </c>
      <c r="L9" s="48"/>
      <c r="M9" s="48"/>
      <c r="N9" s="48"/>
      <c r="O9" s="47">
        <f t="shared" ca="1" si="0"/>
        <v>27</v>
      </c>
      <c r="P9" s="48"/>
      <c r="Q9" s="47">
        <f t="shared" ca="1" si="1"/>
        <v>27</v>
      </c>
      <c r="R9" s="48">
        <v>3</v>
      </c>
      <c r="S9" s="48" t="s">
        <v>82</v>
      </c>
      <c r="T9" s="47" t="s">
        <v>109</v>
      </c>
      <c r="U9" s="30" t="s">
        <v>80</v>
      </c>
    </row>
    <row r="10" spans="1:21" ht="12.75" x14ac:dyDescent="0.2">
      <c r="A10" s="49">
        <v>4</v>
      </c>
      <c r="B10" s="70" t="str">
        <f ca="1">IFERROR(__xludf.DUMMYFUNCTION("IMPORTRANGE(""https://docs.google.com/spreadsheets/d/16CWr8ky6L0i1S4UOLMYHizeHS6aZnIDEnQPyRJyTpcI/edit#gid=0"", ""Обр.центр!B28:O32"")"),"Четина Мария Романовна")</f>
        <v>Четина Мария Романовна</v>
      </c>
      <c r="C10" s="70"/>
      <c r="D10" s="72" t="str">
        <f ca="1">IFERROR(__xludf.DUMMYFUNCTION("""COMPUTED_VALUE"""),"Образовательный центр")</f>
        <v>Образовательный центр</v>
      </c>
      <c r="E10" s="48">
        <f ca="1">IFERROR(__xludf.DUMMYFUNCTION("""COMPUTED_VALUE"""),10)</f>
        <v>10</v>
      </c>
      <c r="F10" s="70" t="str">
        <f ca="1">IFERROR(__xludf.DUMMYFUNCTION("""COMPUTED_VALUE"""),"Газданова Валентина Владимировна")</f>
        <v>Газданова Валентина Владимировна</v>
      </c>
      <c r="G10" s="48">
        <f ca="1">IFERROR(__xludf.DUMMYFUNCTION("""COMPUTED_VALUE"""),8)</f>
        <v>8</v>
      </c>
      <c r="H10" s="48">
        <f ca="1">IFERROR(__xludf.DUMMYFUNCTION("""COMPUTED_VALUE"""),5)</f>
        <v>5</v>
      </c>
      <c r="I10" s="48">
        <f ca="1">IFERROR(__xludf.DUMMYFUNCTION("""COMPUTED_VALUE"""),8)</f>
        <v>8</v>
      </c>
      <c r="J10" s="48">
        <f ca="1">IFERROR(__xludf.DUMMYFUNCTION("""COMPUTED_VALUE"""),4)</f>
        <v>4</v>
      </c>
      <c r="K10" s="48">
        <f ca="1">IFERROR(__xludf.DUMMYFUNCTION("""COMPUTED_VALUE"""),2)</f>
        <v>2</v>
      </c>
      <c r="L10" s="48"/>
      <c r="M10" s="48"/>
      <c r="N10" s="48"/>
      <c r="O10" s="47">
        <f t="shared" ca="1" si="0"/>
        <v>27</v>
      </c>
      <c r="P10" s="48"/>
      <c r="Q10" s="47">
        <f t="shared" ca="1" si="1"/>
        <v>27</v>
      </c>
      <c r="R10" s="47">
        <v>4</v>
      </c>
      <c r="S10" s="48" t="s">
        <v>82</v>
      </c>
      <c r="T10" s="47" t="s">
        <v>109</v>
      </c>
    </row>
    <row r="11" spans="1:21" ht="12.75" x14ac:dyDescent="0.2">
      <c r="A11" s="49">
        <v>5</v>
      </c>
      <c r="B11" s="70" t="str">
        <f ca="1">IFERROR(__xludf.DUMMYFUNCTION("""COMPUTED_VALUE"""),"Корниенко Виктор Андреевич")</f>
        <v>Корниенко Виктор Андреевич</v>
      </c>
      <c r="C11" s="70"/>
      <c r="D11" s="72" t="str">
        <f ca="1">IFERROR(__xludf.DUMMYFUNCTION("""COMPUTED_VALUE"""),"МОУ ""СОШ №19""")</f>
        <v>МОУ "СОШ №19"</v>
      </c>
      <c r="E11" s="48">
        <f ca="1">IFERROR(__xludf.DUMMYFUNCTION("""COMPUTED_VALUE"""),10)</f>
        <v>10</v>
      </c>
      <c r="F11" s="70" t="str">
        <f ca="1">IFERROR(__xludf.DUMMYFUNCTION("""COMPUTED_VALUE"""),"Карташова Анна Александровна")</f>
        <v>Карташова Анна Александровна</v>
      </c>
      <c r="G11" s="48">
        <f ca="1">IFERROR(__xludf.DUMMYFUNCTION("""COMPUTED_VALUE"""),8)</f>
        <v>8</v>
      </c>
      <c r="H11" s="48">
        <f ca="1">IFERROR(__xludf.DUMMYFUNCTION("""COMPUTED_VALUE"""),8)</f>
        <v>8</v>
      </c>
      <c r="I11" s="48">
        <f ca="1">IFERROR(__xludf.DUMMYFUNCTION("""COMPUTED_VALUE"""),7)</f>
        <v>7</v>
      </c>
      <c r="J11" s="48">
        <f ca="1">IFERROR(__xludf.DUMMYFUNCTION("""COMPUTED_VALUE"""),3)</f>
        <v>3</v>
      </c>
      <c r="K11" s="48">
        <f ca="1">IFERROR(__xludf.DUMMYFUNCTION("""COMPUTED_VALUE"""),1)</f>
        <v>1</v>
      </c>
      <c r="L11" s="48"/>
      <c r="M11" s="48"/>
      <c r="N11" s="48"/>
      <c r="O11" s="47">
        <f t="shared" ca="1" si="0"/>
        <v>27</v>
      </c>
      <c r="P11" s="48"/>
      <c r="Q11" s="47">
        <f t="shared" ca="1" si="1"/>
        <v>27</v>
      </c>
      <c r="R11" s="48">
        <v>5</v>
      </c>
      <c r="S11" s="48" t="s">
        <v>82</v>
      </c>
      <c r="T11" s="47" t="s">
        <v>109</v>
      </c>
      <c r="U11" s="30" t="s">
        <v>86</v>
      </c>
    </row>
    <row r="12" spans="1:21" ht="12.75" x14ac:dyDescent="0.2">
      <c r="A12" s="49">
        <v>6</v>
      </c>
      <c r="B12" s="70" t="str">
        <f ca="1">IFERROR(__xludf.DUMMYFUNCTION("""COMPUTED_VALUE"""),"Щербакова Виктория Валерьевна")</f>
        <v>Щербакова Виктория Валерьевна</v>
      </c>
      <c r="C12" s="70"/>
      <c r="D12" s="72" t="str">
        <f ca="1">IFERROR(__xludf.DUMMYFUNCTION("""COMPUTED_VALUE"""),"МОУ ""СОШ №24""")</f>
        <v>МОУ "СОШ №24"</v>
      </c>
      <c r="E12" s="48">
        <f ca="1">IFERROR(__xludf.DUMMYFUNCTION("""COMPUTED_VALUE"""),10)</f>
        <v>10</v>
      </c>
      <c r="F12" s="70" t="str">
        <f ca="1">IFERROR(__xludf.DUMMYFUNCTION("""COMPUTED_VALUE"""),"Моисеева Татьяна Владимировна")</f>
        <v>Моисеева Татьяна Владимировна</v>
      </c>
      <c r="G12" s="48">
        <f ca="1">IFERROR(__xludf.DUMMYFUNCTION("""COMPUTED_VALUE"""),7)</f>
        <v>7</v>
      </c>
      <c r="H12" s="48">
        <f ca="1">IFERROR(__xludf.DUMMYFUNCTION("""COMPUTED_VALUE"""),6)</f>
        <v>6</v>
      </c>
      <c r="I12" s="48">
        <f ca="1">IFERROR(__xludf.DUMMYFUNCTION("""COMPUTED_VALUE"""),9)</f>
        <v>9</v>
      </c>
      <c r="J12" s="48">
        <f ca="1">IFERROR(__xludf.DUMMYFUNCTION("""COMPUTED_VALUE"""),4)</f>
        <v>4</v>
      </c>
      <c r="K12" s="48">
        <f ca="1">IFERROR(__xludf.DUMMYFUNCTION("""COMPUTED_VALUE"""),0)</f>
        <v>0</v>
      </c>
      <c r="L12" s="48"/>
      <c r="M12" s="48"/>
      <c r="N12" s="48"/>
      <c r="O12" s="47">
        <f t="shared" ca="1" si="0"/>
        <v>26</v>
      </c>
      <c r="P12" s="48"/>
      <c r="Q12" s="47">
        <f t="shared" ca="1" si="1"/>
        <v>26</v>
      </c>
      <c r="R12" s="48">
        <v>6</v>
      </c>
      <c r="S12" s="48" t="s">
        <v>82</v>
      </c>
      <c r="T12" s="47" t="s">
        <v>109</v>
      </c>
      <c r="U12" s="30" t="s">
        <v>87</v>
      </c>
    </row>
    <row r="13" spans="1:21" ht="12.75" x14ac:dyDescent="0.2">
      <c r="A13" s="49">
        <v>7</v>
      </c>
      <c r="B13" s="70" t="str">
        <f ca="1">IFERROR(__xludf.DUMMYFUNCTION("""COMPUTED_VALUE"""),"Сорокина Дарья Алексеевна")</f>
        <v>Сорокина Дарья Алексеевна</v>
      </c>
      <c r="C13" s="70"/>
      <c r="D13" s="72" t="str">
        <f ca="1">IFERROR(__xludf.DUMMYFUNCTION("""COMPUTED_VALUE"""),"МОУ ""СОШ №33""")</f>
        <v>МОУ "СОШ №33"</v>
      </c>
      <c r="E13" s="48">
        <f ca="1">IFERROR(__xludf.DUMMYFUNCTION("""COMPUTED_VALUE"""),10)</f>
        <v>10</v>
      </c>
      <c r="F13" s="70" t="str">
        <f ca="1">IFERROR(__xludf.DUMMYFUNCTION("""COMPUTED_VALUE"""),"Чермашенцева Анжела Сергеевна")</f>
        <v>Чермашенцева Анжела Сергеевна</v>
      </c>
      <c r="G13" s="48">
        <f ca="1">IFERROR(__xludf.DUMMYFUNCTION("""COMPUTED_VALUE"""),8)</f>
        <v>8</v>
      </c>
      <c r="H13" s="48">
        <f ca="1">IFERROR(__xludf.DUMMYFUNCTION("""COMPUTED_VALUE"""),7)</f>
        <v>7</v>
      </c>
      <c r="I13" s="48">
        <f ca="1">IFERROR(__xludf.DUMMYFUNCTION("""COMPUTED_VALUE"""),7)</f>
        <v>7</v>
      </c>
      <c r="J13" s="48">
        <f ca="1">IFERROR(__xludf.DUMMYFUNCTION("""COMPUTED_VALUE"""),4)</f>
        <v>4</v>
      </c>
      <c r="K13" s="48">
        <f ca="1">IFERROR(__xludf.DUMMYFUNCTION("""COMPUTED_VALUE"""),0)</f>
        <v>0</v>
      </c>
      <c r="L13" s="48"/>
      <c r="M13" s="48"/>
      <c r="N13" s="48"/>
      <c r="O13" s="47">
        <f t="shared" ca="1" si="0"/>
        <v>26</v>
      </c>
      <c r="P13" s="48"/>
      <c r="Q13" s="47">
        <f t="shared" ca="1" si="1"/>
        <v>26</v>
      </c>
      <c r="R13" s="47">
        <v>7</v>
      </c>
      <c r="S13" s="48" t="s">
        <v>82</v>
      </c>
      <c r="T13" s="47" t="s">
        <v>109</v>
      </c>
    </row>
    <row r="14" spans="1:21" ht="12.75" x14ac:dyDescent="0.2">
      <c r="A14" s="49">
        <v>8</v>
      </c>
      <c r="B14" s="70" t="str">
        <f ca="1">IFERROR(__xludf.DUMMYFUNCTION("""COMPUTED_VALUE"""),"Колесникова Валерия Васильевна")</f>
        <v>Колесникова Валерия Васильевна</v>
      </c>
      <c r="C14" s="70"/>
      <c r="D14" s="7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14" s="48">
        <f ca="1">IFERROR(__xludf.DUMMYFUNCTION("""COMPUTED_VALUE"""),10)</f>
        <v>10</v>
      </c>
      <c r="F14" s="70" t="str">
        <f ca="1">IFERROR(__xludf.DUMMYFUNCTION("""COMPUTED_VALUE"""),"Новинкина Светлана Габдулловна")</f>
        <v>Новинкина Светлана Габдулловна</v>
      </c>
      <c r="G14" s="48">
        <f ca="1">IFERROR(__xludf.DUMMYFUNCTION("""COMPUTED_VALUE"""),6)</f>
        <v>6</v>
      </c>
      <c r="H14" s="48">
        <f ca="1">IFERROR(__xludf.DUMMYFUNCTION("""COMPUTED_VALUE"""),7)</f>
        <v>7</v>
      </c>
      <c r="I14" s="48">
        <f ca="1">IFERROR(__xludf.DUMMYFUNCTION("""COMPUTED_VALUE"""),9)</f>
        <v>9</v>
      </c>
      <c r="J14" s="48">
        <f ca="1">IFERROR(__xludf.DUMMYFUNCTION("""COMPUTED_VALUE"""),4)</f>
        <v>4</v>
      </c>
      <c r="K14" s="48">
        <f ca="1">IFERROR(__xludf.DUMMYFUNCTION("""COMPUTED_VALUE"""),0)</f>
        <v>0</v>
      </c>
      <c r="L14" s="48"/>
      <c r="M14" s="48"/>
      <c r="N14" s="48"/>
      <c r="O14" s="47">
        <f t="shared" ca="1" si="0"/>
        <v>26</v>
      </c>
      <c r="P14" s="48"/>
      <c r="Q14" s="47">
        <f t="shared" ca="1" si="1"/>
        <v>26</v>
      </c>
      <c r="R14" s="48">
        <v>8</v>
      </c>
      <c r="S14" s="48" t="s">
        <v>82</v>
      </c>
      <c r="T14" s="47" t="s">
        <v>109</v>
      </c>
      <c r="U14" s="30" t="s">
        <v>131</v>
      </c>
    </row>
    <row r="15" spans="1:21" ht="12.75" x14ac:dyDescent="0.2">
      <c r="A15" s="49">
        <v>9</v>
      </c>
      <c r="B15" s="70" t="str">
        <f ca="1">IFERROR(__xludf.DUMMYFUNCTION("IMPORTRANGE(""https://docs.google.com/spreadsheets/d/16CWr8ky6L0i1S4UOLMYHizeHS6aZnIDEnQPyRJyTpcI/edit#gid=0"", ""СОШ №19!B28:O32"")"),"Ефименко Алиса Геннадьевна")</f>
        <v>Ефименко Алиса Геннадьевна</v>
      </c>
      <c r="C15" s="70"/>
      <c r="D15" s="72" t="str">
        <f ca="1">IFERROR(__xludf.DUMMYFUNCTION("""COMPUTED_VALUE"""),"МОУ ""СОШ №19""")</f>
        <v>МОУ "СОШ №19"</v>
      </c>
      <c r="E15" s="48">
        <f ca="1">IFERROR(__xludf.DUMMYFUNCTION("""COMPUTED_VALUE"""),10)</f>
        <v>10</v>
      </c>
      <c r="F15" s="70" t="str">
        <f ca="1">IFERROR(__xludf.DUMMYFUNCTION("""COMPUTED_VALUE"""),"Карташова Анна Александровна")</f>
        <v>Карташова Анна Александровна</v>
      </c>
      <c r="G15" s="48">
        <f ca="1">IFERROR(__xludf.DUMMYFUNCTION("""COMPUTED_VALUE"""),8)</f>
        <v>8</v>
      </c>
      <c r="H15" s="48">
        <f ca="1">IFERROR(__xludf.DUMMYFUNCTION("""COMPUTED_VALUE"""),5)</f>
        <v>5</v>
      </c>
      <c r="I15" s="48">
        <f ca="1">IFERROR(__xludf.DUMMYFUNCTION("""COMPUTED_VALUE"""),7)</f>
        <v>7</v>
      </c>
      <c r="J15" s="48">
        <f ca="1">IFERROR(__xludf.DUMMYFUNCTION("""COMPUTED_VALUE"""),4)</f>
        <v>4</v>
      </c>
      <c r="K15" s="48">
        <f ca="1">IFERROR(__xludf.DUMMYFUNCTION("""COMPUTED_VALUE"""),1)</f>
        <v>1</v>
      </c>
      <c r="L15" s="48"/>
      <c r="M15" s="48"/>
      <c r="N15" s="48"/>
      <c r="O15" s="47">
        <f t="shared" ca="1" si="0"/>
        <v>25</v>
      </c>
      <c r="P15" s="48"/>
      <c r="Q15" s="47">
        <f t="shared" ca="1" si="1"/>
        <v>25</v>
      </c>
      <c r="R15" s="48">
        <v>9</v>
      </c>
      <c r="S15" s="48" t="s">
        <v>83</v>
      </c>
      <c r="T15" s="47" t="s">
        <v>109</v>
      </c>
      <c r="U15" s="30" t="s">
        <v>132</v>
      </c>
    </row>
    <row r="16" spans="1:21" ht="12.75" x14ac:dyDescent="0.2">
      <c r="A16" s="49">
        <v>10</v>
      </c>
      <c r="B16" s="70" t="str">
        <f ca="1">IFERROR(__xludf.DUMMYFUNCTION("IMPORTRANGE(""https://docs.google.com/spreadsheets/d/16CWr8ky6L0i1S4UOLMYHizeHS6aZnIDEnQPyRJyTpcI/edit#gid=0"", ""СОШ №33!B28:O32"")"),"Козаченко Виктория Ивановна")</f>
        <v>Козаченко Виктория Ивановна</v>
      </c>
      <c r="C16" s="70"/>
      <c r="D16" s="72" t="str">
        <f ca="1">IFERROR(__xludf.DUMMYFUNCTION("""COMPUTED_VALUE"""),"МОУ ""СОШ №33""")</f>
        <v>МОУ "СОШ №33"</v>
      </c>
      <c r="E16" s="48">
        <f ca="1">IFERROR(__xludf.DUMMYFUNCTION("""COMPUTED_VALUE"""),10)</f>
        <v>10</v>
      </c>
      <c r="F16" s="70" t="str">
        <f ca="1">IFERROR(__xludf.DUMMYFUNCTION("""COMPUTED_VALUE"""),"Чермашенцева Анжела Сергеевна")</f>
        <v>Чермашенцева Анжела Сергеевна</v>
      </c>
      <c r="G16" s="48">
        <f ca="1">IFERROR(__xludf.DUMMYFUNCTION("""COMPUTED_VALUE"""),6)</f>
        <v>6</v>
      </c>
      <c r="H16" s="48">
        <f ca="1">IFERROR(__xludf.DUMMYFUNCTION("""COMPUTED_VALUE"""),7)</f>
        <v>7</v>
      </c>
      <c r="I16" s="48">
        <f ca="1">IFERROR(__xludf.DUMMYFUNCTION("""COMPUTED_VALUE"""),8)</f>
        <v>8</v>
      </c>
      <c r="J16" s="48">
        <f ca="1">IFERROR(__xludf.DUMMYFUNCTION("""COMPUTED_VALUE"""),4)</f>
        <v>4</v>
      </c>
      <c r="K16" s="48">
        <f ca="1">IFERROR(__xludf.DUMMYFUNCTION("""COMPUTED_VALUE"""),0)</f>
        <v>0</v>
      </c>
      <c r="L16" s="48"/>
      <c r="M16" s="48"/>
      <c r="N16" s="48"/>
      <c r="O16" s="47">
        <f t="shared" ca="1" si="0"/>
        <v>25</v>
      </c>
      <c r="P16" s="48"/>
      <c r="Q16" s="47">
        <f t="shared" ca="1" si="1"/>
        <v>25</v>
      </c>
      <c r="R16" s="47">
        <v>10</v>
      </c>
      <c r="S16" s="48" t="s">
        <v>83</v>
      </c>
      <c r="T16" s="47" t="s">
        <v>109</v>
      </c>
      <c r="U16" s="30" t="s">
        <v>129</v>
      </c>
    </row>
    <row r="17" spans="1:21" ht="12.75" x14ac:dyDescent="0.2">
      <c r="A17" s="49">
        <v>11</v>
      </c>
      <c r="B17" s="66" t="str">
        <f ca="1">IFERROR(__xludf.DUMMYFUNCTION("""COMPUTED_VALUE"""),"Жаркова Валерия Алекандровна")</f>
        <v>Жаркова Валерия Алекандровна</v>
      </c>
      <c r="C17" s="66"/>
      <c r="D17" s="73" t="str">
        <f ca="1">IFERROR(__xludf.DUMMYFUNCTION("""COMPUTED_VALUE"""),"МОУ ""СОШ п. Придорожный""")</f>
        <v>МОУ "СОШ п. Придорожный"</v>
      </c>
      <c r="E17" s="47">
        <f ca="1">IFERROR(__xludf.DUMMYFUNCTION("""COMPUTED_VALUE"""),10)</f>
        <v>10</v>
      </c>
      <c r="F17" s="66" t="str">
        <f ca="1">IFERROR(__xludf.DUMMYFUNCTION("""COMPUTED_VALUE"""),"Демешко Екатерина Валерьевна")</f>
        <v>Демешко Екатерина Валерьевна</v>
      </c>
      <c r="G17" s="47">
        <f ca="1">IFERROR(__xludf.DUMMYFUNCTION("""COMPUTED_VALUE"""),7)</f>
        <v>7</v>
      </c>
      <c r="H17" s="47">
        <f ca="1">IFERROR(__xludf.DUMMYFUNCTION("""COMPUTED_VALUE"""),6)</f>
        <v>6</v>
      </c>
      <c r="I17" s="47">
        <f ca="1">IFERROR(__xludf.DUMMYFUNCTION("""COMPUTED_VALUE"""),8)</f>
        <v>8</v>
      </c>
      <c r="J17" s="47">
        <f ca="1">IFERROR(__xludf.DUMMYFUNCTION("""COMPUTED_VALUE"""),4)</f>
        <v>4</v>
      </c>
      <c r="K17" s="47">
        <f ca="1">IFERROR(__xludf.DUMMYFUNCTION("""COMPUTED_VALUE"""),0)</f>
        <v>0</v>
      </c>
      <c r="L17" s="47"/>
      <c r="M17" s="47"/>
      <c r="N17" s="47"/>
      <c r="O17" s="47">
        <f t="shared" ca="1" si="0"/>
        <v>25</v>
      </c>
      <c r="P17" s="47"/>
      <c r="Q17" s="47">
        <f t="shared" ca="1" si="1"/>
        <v>25</v>
      </c>
      <c r="R17" s="48">
        <v>11</v>
      </c>
      <c r="S17" s="48" t="s">
        <v>83</v>
      </c>
      <c r="T17" s="47" t="s">
        <v>109</v>
      </c>
      <c r="U17" s="30" t="s">
        <v>130</v>
      </c>
    </row>
    <row r="18" spans="1:21" ht="12.75" x14ac:dyDescent="0.2">
      <c r="A18" s="49">
        <v>12</v>
      </c>
      <c r="B18" s="71" t="str">
        <f ca="1">IFERROR(__xludf.DUMMYFUNCTION("IMPORTRANGE(""https://docs.google.com/spreadsheets/d/16CWr8ky6L0i1S4UOLMYHizeHS6aZnIDEnQPyRJyTpcI/edit#gid=0"", ""СОШ п. им. К.Маркса!B40:O40"")"),"Червякова Яна Александровна")</f>
        <v>Червякова Яна Александровна</v>
      </c>
      <c r="C18" s="66"/>
      <c r="D18" s="73" t="str">
        <f ca="1">IFERROR(__xludf.DUMMYFUNCTION("""COMPUTED_VALUE"""),"МОУ ""СОШ п. им. К. Маркса""")</f>
        <v>МОУ "СОШ п. им. К. Маркса"</v>
      </c>
      <c r="E18" s="47">
        <f ca="1">IFERROR(__xludf.DUMMYFUNCTION("""COMPUTED_VALUE"""),10)</f>
        <v>10</v>
      </c>
      <c r="F18" s="66" t="str">
        <f ca="1">IFERROR(__xludf.DUMMYFUNCTION("""COMPUTED_VALUE"""),"Постнова Ольга Вениаминовна")</f>
        <v>Постнова Ольга Вениаминовна</v>
      </c>
      <c r="G18" s="47">
        <f ca="1">IFERROR(__xludf.DUMMYFUNCTION("""COMPUTED_VALUE"""),9)</f>
        <v>9</v>
      </c>
      <c r="H18" s="47">
        <f ca="1">IFERROR(__xludf.DUMMYFUNCTION("""COMPUTED_VALUE"""),7)</f>
        <v>7</v>
      </c>
      <c r="I18" s="47">
        <f ca="1">IFERROR(__xludf.DUMMYFUNCTION("""COMPUTED_VALUE"""),5)</f>
        <v>5</v>
      </c>
      <c r="J18" s="47">
        <f ca="1">IFERROR(__xludf.DUMMYFUNCTION("""COMPUTED_VALUE"""),4)</f>
        <v>4</v>
      </c>
      <c r="K18" s="47">
        <f ca="1">IFERROR(__xludf.DUMMYFUNCTION("""COMPUTED_VALUE"""),0)</f>
        <v>0</v>
      </c>
      <c r="L18" s="47"/>
      <c r="M18" s="47"/>
      <c r="N18" s="47"/>
      <c r="O18" s="47">
        <f t="shared" ca="1" si="0"/>
        <v>25</v>
      </c>
      <c r="P18" s="47"/>
      <c r="Q18" s="47">
        <f t="shared" ca="1" si="1"/>
        <v>25</v>
      </c>
      <c r="R18" s="48">
        <v>12</v>
      </c>
      <c r="S18" s="48" t="s">
        <v>83</v>
      </c>
      <c r="T18" s="47" t="s">
        <v>109</v>
      </c>
    </row>
    <row r="19" spans="1:21" ht="12.75" x14ac:dyDescent="0.2">
      <c r="A19" s="49">
        <v>13</v>
      </c>
      <c r="B19" s="70" t="str">
        <f ca="1">IFERROR(__xludf.DUMMYFUNCTION("IMPORTRANGE(""https://docs.google.com/spreadsheets/d/16CWr8ky6L0i1S4UOLMYHizeHS6aZnIDEnQPyRJyTpcI/edit#gid=0"", ""СОШ №5!B28:O32"")"),"Шагера Владимир Дмитриевич")</f>
        <v>Шагера Владимир Дмитриевич</v>
      </c>
      <c r="C19" s="70"/>
      <c r="D19" s="72" t="str">
        <f ca="1">IFERROR(__xludf.DUMMYFUNCTION("""COMPUTED_VALUE"""),"МОУ ""СОШ №5""")</f>
        <v>МОУ "СОШ №5"</v>
      </c>
      <c r="E19" s="48">
        <f ca="1">IFERROR(__xludf.DUMMYFUNCTION("""COMPUTED_VALUE"""),10)</f>
        <v>10</v>
      </c>
      <c r="F19" s="70" t="str">
        <f ca="1">IFERROR(__xludf.DUMMYFUNCTION("""COMPUTED_VALUE"""),"Мешкова Екатерина Олеговна")</f>
        <v>Мешкова Екатерина Олеговна</v>
      </c>
      <c r="G19" s="48">
        <f ca="1">IFERROR(__xludf.DUMMYFUNCTION("""COMPUTED_VALUE"""),8)</f>
        <v>8</v>
      </c>
      <c r="H19" s="48">
        <f ca="1">IFERROR(__xludf.DUMMYFUNCTION("""COMPUTED_VALUE"""),4)</f>
        <v>4</v>
      </c>
      <c r="I19" s="48">
        <f ca="1">IFERROR(__xludf.DUMMYFUNCTION("""COMPUTED_VALUE"""),8)</f>
        <v>8</v>
      </c>
      <c r="J19" s="48">
        <f ca="1">IFERROR(__xludf.DUMMYFUNCTION("""COMPUTED_VALUE"""),4)</f>
        <v>4</v>
      </c>
      <c r="K19" s="48">
        <v>0</v>
      </c>
      <c r="L19" s="48"/>
      <c r="M19" s="48"/>
      <c r="N19" s="48"/>
      <c r="O19" s="47">
        <f t="shared" ca="1" si="0"/>
        <v>24</v>
      </c>
      <c r="P19" s="48"/>
      <c r="Q19" s="47">
        <f t="shared" ca="1" si="1"/>
        <v>24</v>
      </c>
      <c r="R19" s="47">
        <v>13</v>
      </c>
      <c r="S19" s="48" t="s">
        <v>83</v>
      </c>
      <c r="T19" s="47" t="s">
        <v>109</v>
      </c>
    </row>
    <row r="20" spans="1:21" ht="12.75" x14ac:dyDescent="0.2">
      <c r="A20" s="49">
        <v>14</v>
      </c>
      <c r="B20" s="70" t="str">
        <f ca="1">IFERROR(__xludf.DUMMYFUNCTION("""COMPUTED_VALUE"""),"Юсифов Натиг Вугарович")</f>
        <v>Юсифов Натиг Вугарович</v>
      </c>
      <c r="C20" s="70"/>
      <c r="D20" s="72" t="str">
        <f ca="1">IFERROR(__xludf.DUMMYFUNCTION("""COMPUTED_VALUE"""),"МОУ ""СОШ №19""")</f>
        <v>МОУ "СОШ №19"</v>
      </c>
      <c r="E20" s="48">
        <f ca="1">IFERROR(__xludf.DUMMYFUNCTION("""COMPUTED_VALUE"""),10)</f>
        <v>10</v>
      </c>
      <c r="F20" s="70" t="str">
        <f ca="1">IFERROR(__xludf.DUMMYFUNCTION("""COMPUTED_VALUE"""),"Карташова Анна Александровна")</f>
        <v>Карташова Анна Александровна</v>
      </c>
      <c r="G20" s="48">
        <f ca="1">IFERROR(__xludf.DUMMYFUNCTION("""COMPUTED_VALUE"""),8)</f>
        <v>8</v>
      </c>
      <c r="H20" s="48">
        <f ca="1">IFERROR(__xludf.DUMMYFUNCTION("""COMPUTED_VALUE"""),5)</f>
        <v>5</v>
      </c>
      <c r="I20" s="48">
        <f ca="1">IFERROR(__xludf.DUMMYFUNCTION("""COMPUTED_VALUE"""),7)</f>
        <v>7</v>
      </c>
      <c r="J20" s="48">
        <f ca="1">IFERROR(__xludf.DUMMYFUNCTION("""COMPUTED_VALUE"""),4)</f>
        <v>4</v>
      </c>
      <c r="K20" s="48">
        <f ca="1">IFERROR(__xludf.DUMMYFUNCTION("""COMPUTED_VALUE"""),0)</f>
        <v>0</v>
      </c>
      <c r="L20" s="48"/>
      <c r="M20" s="48"/>
      <c r="N20" s="48"/>
      <c r="O20" s="47">
        <f t="shared" ca="1" si="0"/>
        <v>24</v>
      </c>
      <c r="P20" s="48"/>
      <c r="Q20" s="47">
        <f t="shared" ca="1" si="1"/>
        <v>24</v>
      </c>
      <c r="R20" s="48">
        <v>14</v>
      </c>
      <c r="S20" s="48" t="s">
        <v>83</v>
      </c>
      <c r="T20" s="47" t="s">
        <v>109</v>
      </c>
    </row>
    <row r="21" spans="1:21" ht="12.75" x14ac:dyDescent="0.2">
      <c r="A21" s="49">
        <v>15</v>
      </c>
      <c r="B21" s="71" t="str">
        <f ca="1">IFERROR(__xludf.DUMMYFUNCTION("IMPORTRANGE(""https://docs.google.com/spreadsheets/d/16CWr8ky6L0i1S4UOLMYHizeHS6aZnIDEnQPyRJyTpcI/edit#gid=0"", ""СОШ №24!B28:O32"")"),"Ахметгалиева Анастасия Романовна")</f>
        <v>Ахметгалиева Анастасия Романовна</v>
      </c>
      <c r="C21" s="70"/>
      <c r="D21" s="72" t="str">
        <f ca="1">IFERROR(__xludf.DUMMYFUNCTION("""COMPUTED_VALUE"""),"МОУ ""СОШ №24""")</f>
        <v>МОУ "СОШ №24"</v>
      </c>
      <c r="E21" s="48">
        <f ca="1">IFERROR(__xludf.DUMMYFUNCTION("""COMPUTED_VALUE"""),10)</f>
        <v>10</v>
      </c>
      <c r="F21" s="70" t="str">
        <f ca="1">IFERROR(__xludf.DUMMYFUNCTION("""COMPUTED_VALUE"""),"Моисеева Татьяна Владимировна")</f>
        <v>Моисеева Татьяна Владимировна</v>
      </c>
      <c r="G21" s="48">
        <f ca="1">IFERROR(__xludf.DUMMYFUNCTION("""COMPUTED_VALUE"""),7)</f>
        <v>7</v>
      </c>
      <c r="H21" s="48">
        <f ca="1">IFERROR(__xludf.DUMMYFUNCTION("""COMPUTED_VALUE"""),6)</f>
        <v>6</v>
      </c>
      <c r="I21" s="48">
        <f ca="1">IFERROR(__xludf.DUMMYFUNCTION("""COMPUTED_VALUE"""),7)</f>
        <v>7</v>
      </c>
      <c r="J21" s="48">
        <f ca="1">IFERROR(__xludf.DUMMYFUNCTION("""COMPUTED_VALUE"""),4)</f>
        <v>4</v>
      </c>
      <c r="K21" s="48">
        <f ca="1">IFERROR(__xludf.DUMMYFUNCTION("""COMPUTED_VALUE"""),0)</f>
        <v>0</v>
      </c>
      <c r="L21" s="48"/>
      <c r="M21" s="48"/>
      <c r="N21" s="48"/>
      <c r="O21" s="47">
        <f t="shared" ca="1" si="0"/>
        <v>24</v>
      </c>
      <c r="P21" s="48"/>
      <c r="Q21" s="47">
        <f t="shared" ca="1" si="1"/>
        <v>24</v>
      </c>
      <c r="R21" s="48">
        <v>15</v>
      </c>
      <c r="S21" s="48" t="s">
        <v>83</v>
      </c>
      <c r="T21" s="47" t="s">
        <v>109</v>
      </c>
    </row>
    <row r="22" spans="1:21" ht="12.75" x14ac:dyDescent="0.2">
      <c r="A22" s="49">
        <v>16</v>
      </c>
      <c r="B22" s="70" t="str">
        <f ca="1">IFERROR(__xludf.DUMMYFUNCTION("""COMPUTED_VALUE"""),"Зоря Мария Дмитриевна")</f>
        <v>Зоря Мария Дмитриевна</v>
      </c>
      <c r="C22" s="70"/>
      <c r="D22" s="72" t="str">
        <f ca="1">IFERROR(__xludf.DUMMYFUNCTION("""COMPUTED_VALUE"""),"МОУ ""СОШ №24""")</f>
        <v>МОУ "СОШ №24"</v>
      </c>
      <c r="E22" s="48">
        <f ca="1">IFERROR(__xludf.DUMMYFUNCTION("""COMPUTED_VALUE"""),10)</f>
        <v>10</v>
      </c>
      <c r="F22" s="70" t="str">
        <f ca="1">IFERROR(__xludf.DUMMYFUNCTION("""COMPUTED_VALUE"""),"Моисеева Татьяна Владимировна")</f>
        <v>Моисеева Татьяна Владимировна</v>
      </c>
      <c r="G22" s="48">
        <f ca="1">IFERROR(__xludf.DUMMYFUNCTION("""COMPUTED_VALUE"""),7)</f>
        <v>7</v>
      </c>
      <c r="H22" s="48">
        <f ca="1">IFERROR(__xludf.DUMMYFUNCTION("""COMPUTED_VALUE"""),6)</f>
        <v>6</v>
      </c>
      <c r="I22" s="48">
        <f ca="1">IFERROR(__xludf.DUMMYFUNCTION("""COMPUTED_VALUE"""),7)</f>
        <v>7</v>
      </c>
      <c r="J22" s="48">
        <f ca="1">IFERROR(__xludf.DUMMYFUNCTION("""COMPUTED_VALUE"""),4)</f>
        <v>4</v>
      </c>
      <c r="K22" s="48">
        <f ca="1">IFERROR(__xludf.DUMMYFUNCTION("""COMPUTED_VALUE"""),0)</f>
        <v>0</v>
      </c>
      <c r="L22" s="48"/>
      <c r="M22" s="48"/>
      <c r="N22" s="48"/>
      <c r="O22" s="47">
        <f t="shared" ca="1" si="0"/>
        <v>24</v>
      </c>
      <c r="P22" s="48"/>
      <c r="Q22" s="47">
        <f t="shared" ca="1" si="1"/>
        <v>24</v>
      </c>
      <c r="R22" s="47">
        <v>16</v>
      </c>
      <c r="S22" s="48" t="s">
        <v>83</v>
      </c>
      <c r="T22" s="47" t="s">
        <v>109</v>
      </c>
    </row>
    <row r="23" spans="1:21" ht="12.75" x14ac:dyDescent="0.2">
      <c r="A23" s="49">
        <v>17</v>
      </c>
      <c r="B23" s="70" t="str">
        <f ca="1">IFERROR(__xludf.DUMMYFUNCTION("""COMPUTED_VALUE"""),"Пируева Алина Евгеньевна")</f>
        <v>Пируева Алина Евгеньевна</v>
      </c>
      <c r="C23" s="70"/>
      <c r="D23" s="72" t="str">
        <f ca="1">IFERROR(__xludf.DUMMYFUNCTION("""COMPUTED_VALUE"""),"МОУ ""СОШ №24""")</f>
        <v>МОУ "СОШ №24"</v>
      </c>
      <c r="E23" s="48">
        <f ca="1">IFERROR(__xludf.DUMMYFUNCTION("""COMPUTED_VALUE"""),10)</f>
        <v>10</v>
      </c>
      <c r="F23" s="70" t="str">
        <f ca="1">IFERROR(__xludf.DUMMYFUNCTION("""COMPUTED_VALUE"""),"Моисеева Татьяна Владимировна")</f>
        <v>Моисеева Татьяна Владимировна</v>
      </c>
      <c r="G23" s="48">
        <f ca="1">IFERROR(__xludf.DUMMYFUNCTION("""COMPUTED_VALUE"""),6)</f>
        <v>6</v>
      </c>
      <c r="H23" s="48">
        <f ca="1">IFERROR(__xludf.DUMMYFUNCTION("""COMPUTED_VALUE"""),5)</f>
        <v>5</v>
      </c>
      <c r="I23" s="48">
        <f ca="1">IFERROR(__xludf.DUMMYFUNCTION("""COMPUTED_VALUE"""),8)</f>
        <v>8</v>
      </c>
      <c r="J23" s="48">
        <f ca="1">IFERROR(__xludf.DUMMYFUNCTION("""COMPUTED_VALUE"""),4)</f>
        <v>4</v>
      </c>
      <c r="K23" s="48">
        <f ca="1">IFERROR(__xludf.DUMMYFUNCTION("""COMPUTED_VALUE"""),1)</f>
        <v>1</v>
      </c>
      <c r="L23" s="48"/>
      <c r="M23" s="48"/>
      <c r="N23" s="48"/>
      <c r="O23" s="47">
        <f t="shared" ca="1" si="0"/>
        <v>24</v>
      </c>
      <c r="P23" s="48"/>
      <c r="Q23" s="47">
        <f t="shared" ca="1" si="1"/>
        <v>24</v>
      </c>
      <c r="R23" s="48">
        <v>17</v>
      </c>
      <c r="S23" s="48" t="s">
        <v>83</v>
      </c>
      <c r="T23" s="47" t="s">
        <v>109</v>
      </c>
    </row>
    <row r="24" spans="1:21" ht="12.75" x14ac:dyDescent="0.2">
      <c r="A24" s="49">
        <v>18</v>
      </c>
      <c r="B24" s="70" t="str">
        <f ca="1">IFERROR(__xludf.DUMMYFUNCTION("""COMPUTED_VALUE"""),"Мордовина Татьяна Васильевна")</f>
        <v>Мордовина Татьяна Васильевна</v>
      </c>
      <c r="C24" s="70"/>
      <c r="D24" s="72" t="str">
        <f ca="1">IFERROR(__xludf.DUMMYFUNCTION("""COMPUTED_VALUE"""),"МОУ ""СОШ №33""")</f>
        <v>МОУ "СОШ №33"</v>
      </c>
      <c r="E24" s="48">
        <f ca="1">IFERROR(__xludf.DUMMYFUNCTION("""COMPUTED_VALUE"""),10)</f>
        <v>10</v>
      </c>
      <c r="F24" s="70" t="str">
        <f ca="1">IFERROR(__xludf.DUMMYFUNCTION("""COMPUTED_VALUE"""),"Чермашенцева Анжела Сергеевна")</f>
        <v>Чермашенцева Анжела Сергеевна</v>
      </c>
      <c r="G24" s="48">
        <f ca="1">IFERROR(__xludf.DUMMYFUNCTION("""COMPUTED_VALUE"""),8)</f>
        <v>8</v>
      </c>
      <c r="H24" s="48">
        <f ca="1">IFERROR(__xludf.DUMMYFUNCTION("""COMPUTED_VALUE"""),4)</f>
        <v>4</v>
      </c>
      <c r="I24" s="48">
        <f ca="1">IFERROR(__xludf.DUMMYFUNCTION("""COMPUTED_VALUE"""),6)</f>
        <v>6</v>
      </c>
      <c r="J24" s="48">
        <f ca="1">IFERROR(__xludf.DUMMYFUNCTION("""COMPUTED_VALUE"""),4)</f>
        <v>4</v>
      </c>
      <c r="K24" s="48">
        <f ca="1">IFERROR(__xludf.DUMMYFUNCTION("""COMPUTED_VALUE"""),2)</f>
        <v>2</v>
      </c>
      <c r="L24" s="48"/>
      <c r="M24" s="48"/>
      <c r="N24" s="48"/>
      <c r="O24" s="47">
        <f t="shared" ca="1" si="0"/>
        <v>24</v>
      </c>
      <c r="P24" s="48"/>
      <c r="Q24" s="47">
        <f t="shared" ca="1" si="1"/>
        <v>24</v>
      </c>
      <c r="R24" s="48">
        <v>18</v>
      </c>
      <c r="S24" s="48" t="s">
        <v>83</v>
      </c>
      <c r="T24" s="47" t="s">
        <v>109</v>
      </c>
    </row>
    <row r="25" spans="1:21" ht="12.75" x14ac:dyDescent="0.2">
      <c r="A25" s="49">
        <v>19</v>
      </c>
      <c r="B25" s="71" t="str">
        <f ca="1">IFERROR(__xludf.DUMMYFUNCTION("IMPORTRANGE(""https://docs.google.com/spreadsheets/d/16CWr8ky6L0i1S4UOLMYHizeHS6aZnIDEnQPyRJyTpcI/edit#gid=0"", ""Нов. век!B27:O27"")"),"Геворгян Артур Меружанович")</f>
        <v>Геворгян Артур Меружанович</v>
      </c>
      <c r="C25" s="66"/>
      <c r="D25" s="73" t="str">
        <f ca="1">IFERROR(__xludf.DUMMYFUNCTION("""COMPUTED_VALUE"""),"МОУ ""СОШ им. Ю.А. Гагарина """)</f>
        <v>МОУ "СОШ им. Ю.А. Гагарина "</v>
      </c>
      <c r="E25" s="47">
        <f ca="1">IFERROR(__xludf.DUMMYFUNCTION("""COMPUTED_VALUE"""),10)</f>
        <v>10</v>
      </c>
      <c r="F25" s="66" t="str">
        <f ca="1">IFERROR(__xludf.DUMMYFUNCTION("""COMPUTED_VALUE"""),"Мищенко Ирина Николаевна")</f>
        <v>Мищенко Ирина Николаевна</v>
      </c>
      <c r="G25" s="47">
        <f ca="1">IFERROR(__xludf.DUMMYFUNCTION("""COMPUTED_VALUE"""),10)</f>
        <v>10</v>
      </c>
      <c r="H25" s="47">
        <f ca="1">IFERROR(__xludf.DUMMYFUNCTION("""COMPUTED_VALUE"""),5)</f>
        <v>5</v>
      </c>
      <c r="I25" s="47">
        <f ca="1">IFERROR(__xludf.DUMMYFUNCTION("""COMPUTED_VALUE"""),4)</f>
        <v>4</v>
      </c>
      <c r="J25" s="47">
        <f ca="1">IFERROR(__xludf.DUMMYFUNCTION("""COMPUTED_VALUE"""),4)</f>
        <v>4</v>
      </c>
      <c r="K25" s="47">
        <f ca="1">IFERROR(__xludf.DUMMYFUNCTION("""COMPUTED_VALUE"""),1)</f>
        <v>1</v>
      </c>
      <c r="L25" s="47"/>
      <c r="M25" s="47"/>
      <c r="N25" s="47"/>
      <c r="O25" s="47">
        <f t="shared" ca="1" si="0"/>
        <v>24</v>
      </c>
      <c r="P25" s="47"/>
      <c r="Q25" s="47">
        <f t="shared" ca="1" si="1"/>
        <v>24</v>
      </c>
      <c r="R25" s="47">
        <v>19</v>
      </c>
      <c r="S25" s="48" t="s">
        <v>83</v>
      </c>
      <c r="T25" s="47" t="s">
        <v>109</v>
      </c>
    </row>
    <row r="26" spans="1:21" ht="12.75" x14ac:dyDescent="0.2">
      <c r="A26" s="49">
        <v>20</v>
      </c>
      <c r="B26" s="71" t="str">
        <f ca="1">IFERROR(__xludf.DUMMYFUNCTION("IMPORTRANGE(""https://docs.google.com/spreadsheets/d/16CWr8ky6L0i1S4UOLMYHizeHS6aZnIDEnQPyRJyTpcI/edit#gid=0"", ""Патриот!B28:O32"")"),"Емельянов Александр Александрович")</f>
        <v>Емельянов Александр Александрович</v>
      </c>
      <c r="C26" s="70"/>
      <c r="D26" s="7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6" s="48">
        <f ca="1">IFERROR(__xludf.DUMMYFUNCTION("""COMPUTED_VALUE"""),10)</f>
        <v>10</v>
      </c>
      <c r="F26" s="70" t="str">
        <f ca="1">IFERROR(__xludf.DUMMYFUNCTION("""COMPUTED_VALUE"""),"Новинкина Светлана Габдулловна")</f>
        <v>Новинкина Светлана Габдулловна</v>
      </c>
      <c r="G26" s="48">
        <f ca="1">IFERROR(__xludf.DUMMYFUNCTION("""COMPUTED_VALUE"""),8)</f>
        <v>8</v>
      </c>
      <c r="H26" s="48">
        <f ca="1">IFERROR(__xludf.DUMMYFUNCTION("""COMPUTED_VALUE"""),5)</f>
        <v>5</v>
      </c>
      <c r="I26" s="48">
        <f ca="1">IFERROR(__xludf.DUMMYFUNCTION("""COMPUTED_VALUE"""),6)</f>
        <v>6</v>
      </c>
      <c r="J26" s="48">
        <f ca="1">IFERROR(__xludf.DUMMYFUNCTION("""COMPUTED_VALUE"""),4)</f>
        <v>4</v>
      </c>
      <c r="K26" s="48">
        <f ca="1">IFERROR(__xludf.DUMMYFUNCTION("""COMPUTED_VALUE"""),0)</f>
        <v>0</v>
      </c>
      <c r="L26" s="48"/>
      <c r="M26" s="48"/>
      <c r="N26" s="48"/>
      <c r="O26" s="47">
        <f t="shared" ca="1" si="0"/>
        <v>23</v>
      </c>
      <c r="P26" s="48"/>
      <c r="Q26" s="47">
        <f t="shared" ca="1" si="1"/>
        <v>23</v>
      </c>
      <c r="R26" s="48">
        <v>20</v>
      </c>
      <c r="S26" s="48" t="s">
        <v>83</v>
      </c>
      <c r="T26" s="47" t="s">
        <v>109</v>
      </c>
    </row>
    <row r="27" spans="1:21" ht="12.75" x14ac:dyDescent="0.2">
      <c r="A27" s="49">
        <v>21</v>
      </c>
      <c r="B27" s="70" t="str">
        <f ca="1">IFERROR(__xludf.DUMMYFUNCTION("""COMPUTED_VALUE"""),"Додыченко Александр Александрович")</f>
        <v>Додыченко Александр Александрович</v>
      </c>
      <c r="C27" s="70"/>
      <c r="D27" s="7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7" s="48">
        <f ca="1">IFERROR(__xludf.DUMMYFUNCTION("""COMPUTED_VALUE"""),10)</f>
        <v>10</v>
      </c>
      <c r="F27" s="70" t="str">
        <f ca="1">IFERROR(__xludf.DUMMYFUNCTION("""COMPUTED_VALUE"""),"Новинкина Светлана Габдулловна")</f>
        <v>Новинкина Светлана Габдулловна</v>
      </c>
      <c r="G27" s="48">
        <f ca="1">IFERROR(__xludf.DUMMYFUNCTION("""COMPUTED_VALUE"""),8)</f>
        <v>8</v>
      </c>
      <c r="H27" s="48">
        <f ca="1">IFERROR(__xludf.DUMMYFUNCTION("""COMPUTED_VALUE"""),6)</f>
        <v>6</v>
      </c>
      <c r="I27" s="48">
        <f ca="1">IFERROR(__xludf.DUMMYFUNCTION("""COMPUTED_VALUE"""),5)</f>
        <v>5</v>
      </c>
      <c r="J27" s="48">
        <f ca="1">IFERROR(__xludf.DUMMYFUNCTION("""COMPUTED_VALUE"""),4)</f>
        <v>4</v>
      </c>
      <c r="K27" s="48">
        <f ca="1">IFERROR(__xludf.DUMMYFUNCTION("""COMPUTED_VALUE"""),0)</f>
        <v>0</v>
      </c>
      <c r="L27" s="48"/>
      <c r="M27" s="48"/>
      <c r="N27" s="48"/>
      <c r="O27" s="47">
        <f t="shared" ca="1" si="0"/>
        <v>23</v>
      </c>
      <c r="P27" s="48"/>
      <c r="Q27" s="47">
        <f t="shared" ca="1" si="1"/>
        <v>23</v>
      </c>
      <c r="R27" s="48">
        <v>21</v>
      </c>
      <c r="S27" s="48" t="s">
        <v>83</v>
      </c>
      <c r="T27" s="47" t="s">
        <v>109</v>
      </c>
    </row>
    <row r="28" spans="1:21" ht="12.75" x14ac:dyDescent="0.2">
      <c r="A28" s="49">
        <v>22</v>
      </c>
      <c r="B28" s="66" t="str">
        <f ca="1">IFERROR(__xludf.DUMMYFUNCTION("""COMPUTED_VALUE"""),"Ильина Полина Дмитриевна")</f>
        <v>Ильина Полина Дмитриевна</v>
      </c>
      <c r="C28" s="66"/>
      <c r="D28" s="73" t="str">
        <f ca="1">IFERROR(__xludf.DUMMYFUNCTION("""COMPUTED_VALUE"""),"МОУ ""СОШ п. Придорожный""")</f>
        <v>МОУ "СОШ п. Придорожный"</v>
      </c>
      <c r="E28" s="47">
        <f ca="1">IFERROR(__xludf.DUMMYFUNCTION("""COMPUTED_VALUE"""),10)</f>
        <v>10</v>
      </c>
      <c r="F28" s="66" t="str">
        <f ca="1">IFERROR(__xludf.DUMMYFUNCTION("""COMPUTED_VALUE"""),"Демешко Екатерина Валерьевна")</f>
        <v>Демешко Екатерина Валерьевна</v>
      </c>
      <c r="G28" s="47">
        <f ca="1">IFERROR(__xludf.DUMMYFUNCTION("""COMPUTED_VALUE"""),6)</f>
        <v>6</v>
      </c>
      <c r="H28" s="47">
        <f ca="1">IFERROR(__xludf.DUMMYFUNCTION("""COMPUTED_VALUE"""),5)</f>
        <v>5</v>
      </c>
      <c r="I28" s="47">
        <f ca="1">IFERROR(__xludf.DUMMYFUNCTION("""COMPUTED_VALUE"""),7)</f>
        <v>7</v>
      </c>
      <c r="J28" s="47">
        <f ca="1">IFERROR(__xludf.DUMMYFUNCTION("""COMPUTED_VALUE"""),4)</f>
        <v>4</v>
      </c>
      <c r="K28" s="47">
        <f ca="1">IFERROR(__xludf.DUMMYFUNCTION("""COMPUTED_VALUE"""),0)</f>
        <v>0</v>
      </c>
      <c r="L28" s="47"/>
      <c r="M28" s="47"/>
      <c r="N28" s="47"/>
      <c r="O28" s="47">
        <f t="shared" ca="1" si="0"/>
        <v>22</v>
      </c>
      <c r="P28" s="47"/>
      <c r="Q28" s="47">
        <f t="shared" ca="1" si="1"/>
        <v>22</v>
      </c>
      <c r="R28" s="47">
        <v>22</v>
      </c>
      <c r="S28" s="48" t="s">
        <v>83</v>
      </c>
      <c r="T28" s="47" t="s">
        <v>109</v>
      </c>
    </row>
    <row r="29" spans="1:21" ht="12.75" x14ac:dyDescent="0.2">
      <c r="A29" s="49">
        <v>23</v>
      </c>
      <c r="B29" s="71" t="str">
        <f ca="1">IFERROR(__xludf.DUMMYFUNCTION("IMPORTRANGE(""https://docs.google.com/spreadsheets/d/16CWr8ky6L0i1S4UOLMYHizeHS6aZnIDEnQPyRJyTpcI/edit#gid=0"", ""Нов. век!B28:O32"")"),"
Мощина Яна Вадимовна
")</f>
        <v xml:space="preserve">
Мощина Яна Вадимовна
</v>
      </c>
      <c r="C29" s="70"/>
      <c r="D29" s="72" t="str">
        <f ca="1">IFERROR(__xludf.DUMMYFUNCTION("""COMPUTED_VALUE"""),"МОУ ""СОШ им. Ю.А. Гагарина """)</f>
        <v>МОУ "СОШ им. Ю.А. Гагарина "</v>
      </c>
      <c r="E29" s="48">
        <f ca="1">IFERROR(__xludf.DUMMYFUNCTION("""COMPUTED_VALUE"""),10)</f>
        <v>10</v>
      </c>
      <c r="F29" s="70" t="str">
        <f ca="1">IFERROR(__xludf.DUMMYFUNCTION("""COMPUTED_VALUE"""),"Мищенко Ирина Николаевна")</f>
        <v>Мищенко Ирина Николаевна</v>
      </c>
      <c r="G29" s="48">
        <f ca="1">IFERROR(__xludf.DUMMYFUNCTION("""COMPUTED_VALUE"""),9)</f>
        <v>9</v>
      </c>
      <c r="H29" s="48">
        <f ca="1">IFERROR(__xludf.DUMMYFUNCTION("""COMPUTED_VALUE"""),5)</f>
        <v>5</v>
      </c>
      <c r="I29" s="48">
        <f ca="1">IFERROR(__xludf.DUMMYFUNCTION("""COMPUTED_VALUE"""),2)</f>
        <v>2</v>
      </c>
      <c r="J29" s="48">
        <f ca="1">IFERROR(__xludf.DUMMYFUNCTION("""COMPUTED_VALUE"""),4)</f>
        <v>4</v>
      </c>
      <c r="K29" s="48">
        <f ca="1">IFERROR(__xludf.DUMMYFUNCTION("""COMPUTED_VALUE"""),1)</f>
        <v>1</v>
      </c>
      <c r="L29" s="48"/>
      <c r="M29" s="48"/>
      <c r="N29" s="48"/>
      <c r="O29" s="47">
        <f t="shared" ca="1" si="0"/>
        <v>21</v>
      </c>
      <c r="P29" s="48"/>
      <c r="Q29" s="47">
        <f t="shared" ca="1" si="1"/>
        <v>21</v>
      </c>
      <c r="R29" s="48">
        <v>23</v>
      </c>
      <c r="S29" s="48" t="s">
        <v>83</v>
      </c>
      <c r="T29" s="48"/>
    </row>
    <row r="30" spans="1:21" ht="12.75" x14ac:dyDescent="0.2">
      <c r="A30" s="49">
        <v>24</v>
      </c>
      <c r="B30" s="70" t="str">
        <f ca="1">IFERROR(__xludf.DUMMYFUNCTION("""COMPUTED_VALUE"""),"Липатова Ольга Михайловна")</f>
        <v>Липатова Ольга Михайловна</v>
      </c>
      <c r="C30" s="70"/>
      <c r="D30" s="72" t="str">
        <f ca="1">IFERROR(__xludf.DUMMYFUNCTION("""COMPUTED_VALUE"""),"МОУ ""СОШ им. Ю.А. Гагарина """)</f>
        <v>МОУ "СОШ им. Ю.А. Гагарина "</v>
      </c>
      <c r="E30" s="48">
        <f ca="1">IFERROR(__xludf.DUMMYFUNCTION("""COMPUTED_VALUE"""),10)</f>
        <v>10</v>
      </c>
      <c r="F30" s="70" t="str">
        <f ca="1">IFERROR(__xludf.DUMMYFUNCTION("""COMPUTED_VALUE"""),"Мищенко Ирина Николаевна")</f>
        <v>Мищенко Ирина Николаевна</v>
      </c>
      <c r="G30" s="48">
        <f ca="1">IFERROR(__xludf.DUMMYFUNCTION("""COMPUTED_VALUE"""),9)</f>
        <v>9</v>
      </c>
      <c r="H30" s="48">
        <f ca="1">IFERROR(__xludf.DUMMYFUNCTION("""COMPUTED_VALUE"""),5)</f>
        <v>5</v>
      </c>
      <c r="I30" s="48">
        <f ca="1">IFERROR(__xludf.DUMMYFUNCTION("""COMPUTED_VALUE"""),2)</f>
        <v>2</v>
      </c>
      <c r="J30" s="48">
        <f ca="1">IFERROR(__xludf.DUMMYFUNCTION("""COMPUTED_VALUE"""),4)</f>
        <v>4</v>
      </c>
      <c r="K30" s="48">
        <f ca="1">IFERROR(__xludf.DUMMYFUNCTION("""COMPUTED_VALUE"""),1)</f>
        <v>1</v>
      </c>
      <c r="L30" s="48"/>
      <c r="M30" s="48"/>
      <c r="N30" s="48"/>
      <c r="O30" s="47">
        <f t="shared" ca="1" si="0"/>
        <v>21</v>
      </c>
      <c r="P30" s="48"/>
      <c r="Q30" s="47">
        <f t="shared" ca="1" si="1"/>
        <v>21</v>
      </c>
      <c r="R30" s="48">
        <v>24</v>
      </c>
      <c r="S30" s="48" t="s">
        <v>83</v>
      </c>
      <c r="T30" s="48"/>
    </row>
    <row r="31" spans="1:21" ht="12.75" x14ac:dyDescent="0.2">
      <c r="A31" s="49">
        <v>25</v>
      </c>
      <c r="B31" s="70" t="str">
        <f ca="1">IFERROR(__xludf.DUMMYFUNCTION("""COMPUTED_VALUE"""),"Макаров Арсений Алексеевич")</f>
        <v>Макаров Арсений Алексеевич</v>
      </c>
      <c r="C31" s="70"/>
      <c r="D31" s="72" t="str">
        <f ca="1">IFERROR(__xludf.DUMMYFUNCTION("""COMPUTED_VALUE"""),"МОУ ""СОШ №19""")</f>
        <v>МОУ "СОШ №19"</v>
      </c>
      <c r="E31" s="48">
        <f ca="1">IFERROR(__xludf.DUMMYFUNCTION("""COMPUTED_VALUE"""),10)</f>
        <v>10</v>
      </c>
      <c r="F31" s="70" t="str">
        <f ca="1">IFERROR(__xludf.DUMMYFUNCTION("""COMPUTED_VALUE"""),"Карташова Анна Александровна")</f>
        <v>Карташова Анна Александровна</v>
      </c>
      <c r="G31" s="48">
        <f ca="1">IFERROR(__xludf.DUMMYFUNCTION("""COMPUTED_VALUE"""),6)</f>
        <v>6</v>
      </c>
      <c r="H31" s="48">
        <f ca="1">IFERROR(__xludf.DUMMYFUNCTION("""COMPUTED_VALUE"""),5)</f>
        <v>5</v>
      </c>
      <c r="I31" s="48">
        <f ca="1">IFERROR(__xludf.DUMMYFUNCTION("""COMPUTED_VALUE"""),6)</f>
        <v>6</v>
      </c>
      <c r="J31" s="48">
        <f ca="1">IFERROR(__xludf.DUMMYFUNCTION("""COMPUTED_VALUE"""),4)</f>
        <v>4</v>
      </c>
      <c r="K31" s="48">
        <f ca="1">IFERROR(__xludf.DUMMYFUNCTION("""COMPUTED_VALUE"""),0)</f>
        <v>0</v>
      </c>
      <c r="L31" s="48"/>
      <c r="M31" s="48"/>
      <c r="N31" s="48"/>
      <c r="O31" s="47">
        <f t="shared" ca="1" si="0"/>
        <v>21</v>
      </c>
      <c r="P31" s="48"/>
      <c r="Q31" s="47">
        <f t="shared" ca="1" si="1"/>
        <v>21</v>
      </c>
      <c r="R31" s="47">
        <v>25</v>
      </c>
      <c r="S31" s="48" t="s">
        <v>83</v>
      </c>
      <c r="T31" s="48"/>
    </row>
    <row r="32" spans="1:21" ht="12.75" x14ac:dyDescent="0.2">
      <c r="A32" s="49">
        <v>26</v>
      </c>
      <c r="B32" s="71" t="str">
        <f ca="1">IFERROR(__xludf.DUMMYFUNCTION("IMPORTRANGE(""https://docs.google.com/spreadsheets/d/16CWr8ky6L0i1S4UOLMYHizeHS6aZnIDEnQPyRJyTpcI/edit#gid=0"", ""СОШ п. Придорожный!B28:O32"")"),"Дементьева Мария Андреевна")</f>
        <v>Дементьева Мария Андреевна</v>
      </c>
      <c r="C32" s="66"/>
      <c r="D32" s="73" t="str">
        <f ca="1">IFERROR(__xludf.DUMMYFUNCTION("""COMPUTED_VALUE"""),"МОУ ""СОШ п. Придорожный""")</f>
        <v>МОУ "СОШ п. Придорожный"</v>
      </c>
      <c r="E32" s="47">
        <f ca="1">IFERROR(__xludf.DUMMYFUNCTION("""COMPUTED_VALUE"""),10)</f>
        <v>10</v>
      </c>
      <c r="F32" s="66" t="str">
        <f ca="1">IFERROR(__xludf.DUMMYFUNCTION("""COMPUTED_VALUE"""),"Демешко Екатерина Валерьевна")</f>
        <v>Демешко Екатерина Валерьевна</v>
      </c>
      <c r="G32" s="47">
        <f ca="1">IFERROR(__xludf.DUMMYFUNCTION("""COMPUTED_VALUE"""),8)</f>
        <v>8</v>
      </c>
      <c r="H32" s="47">
        <f ca="1">IFERROR(__xludf.DUMMYFUNCTION("""COMPUTED_VALUE"""),5)</f>
        <v>5</v>
      </c>
      <c r="I32" s="47">
        <f ca="1">IFERROR(__xludf.DUMMYFUNCTION("""COMPUTED_VALUE"""),4)</f>
        <v>4</v>
      </c>
      <c r="J32" s="47">
        <f ca="1">IFERROR(__xludf.DUMMYFUNCTION("""COMPUTED_VALUE"""),4)</f>
        <v>4</v>
      </c>
      <c r="K32" s="47">
        <f ca="1">IFERROR(__xludf.DUMMYFUNCTION("""COMPUTED_VALUE"""),0)</f>
        <v>0</v>
      </c>
      <c r="L32" s="47"/>
      <c r="M32" s="47"/>
      <c r="N32" s="47"/>
      <c r="O32" s="47">
        <f t="shared" ca="1" si="0"/>
        <v>21</v>
      </c>
      <c r="P32" s="47"/>
      <c r="Q32" s="47">
        <f t="shared" ca="1" si="1"/>
        <v>21</v>
      </c>
      <c r="R32" s="48">
        <v>26</v>
      </c>
      <c r="S32" s="48" t="s">
        <v>83</v>
      </c>
      <c r="T32" s="48"/>
    </row>
    <row r="33" spans="1:20" ht="12.75" x14ac:dyDescent="0.2">
      <c r="A33" s="49">
        <v>27</v>
      </c>
      <c r="B33" s="66" t="str">
        <f ca="1">IFERROR(__xludf.DUMMYFUNCTION("""COMPUTED_VALUE"""),"Алимова Мария Дмитриевна")</f>
        <v>Алимова Мария Дмитриевна</v>
      </c>
      <c r="C33" s="66"/>
      <c r="D33" s="73" t="str">
        <f ca="1">IFERROR(__xludf.DUMMYFUNCTION("""COMPUTED_VALUE"""),"МОУ ""СОШ п. Придорожный""")</f>
        <v>МОУ "СОШ п. Придорожный"</v>
      </c>
      <c r="E33" s="47">
        <f ca="1">IFERROR(__xludf.DUMMYFUNCTION("""COMPUTED_VALUE"""),10)</f>
        <v>10</v>
      </c>
      <c r="F33" s="66" t="str">
        <f ca="1">IFERROR(__xludf.DUMMYFUNCTION("""COMPUTED_VALUE"""),"Демешко Екатерина Валерьевна")</f>
        <v>Демешко Екатерина Валерьевна</v>
      </c>
      <c r="G33" s="47">
        <f ca="1">IFERROR(__xludf.DUMMYFUNCTION("""COMPUTED_VALUE"""),7)</f>
        <v>7</v>
      </c>
      <c r="H33" s="47">
        <f ca="1">IFERROR(__xludf.DUMMYFUNCTION("""COMPUTED_VALUE"""),5)</f>
        <v>5</v>
      </c>
      <c r="I33" s="47">
        <f ca="1">IFERROR(__xludf.DUMMYFUNCTION("""COMPUTED_VALUE"""),5)</f>
        <v>5</v>
      </c>
      <c r="J33" s="47">
        <f ca="1">IFERROR(__xludf.DUMMYFUNCTION("""COMPUTED_VALUE"""),4)</f>
        <v>4</v>
      </c>
      <c r="K33" s="47">
        <f ca="1">IFERROR(__xludf.DUMMYFUNCTION("""COMPUTED_VALUE"""),0)</f>
        <v>0</v>
      </c>
      <c r="L33" s="47"/>
      <c r="M33" s="47"/>
      <c r="N33" s="47"/>
      <c r="O33" s="47">
        <f t="shared" ca="1" si="0"/>
        <v>21</v>
      </c>
      <c r="P33" s="47"/>
      <c r="Q33" s="47">
        <f t="shared" ca="1" si="1"/>
        <v>21</v>
      </c>
      <c r="R33" s="48">
        <v>27</v>
      </c>
      <c r="S33" s="48" t="s">
        <v>83</v>
      </c>
      <c r="T33" s="48"/>
    </row>
    <row r="34" spans="1:20" ht="12.75" x14ac:dyDescent="0.2">
      <c r="A34" s="49">
        <v>28</v>
      </c>
      <c r="B34" s="71" t="str">
        <f ca="1">IFERROR(__xludf.DUMMYFUNCTION("IMPORTRANGE(""https://docs.google.com/spreadsheets/d/16CWr8ky6L0i1S4UOLMYHizeHS6aZnIDEnQPyRJyTpcI/edit#gid=0"", ""СОШ с. Шумейка!B28:O32"")"),"Павленко Валерия Павловна")</f>
        <v>Павленко Валерия Павловна</v>
      </c>
      <c r="C34" s="66"/>
      <c r="D34" s="73" t="str">
        <f ca="1">IFERROR(__xludf.DUMMYFUNCTION("""COMPUTED_VALUE"""),"МОУ ""СОШ с. Шумейка""")</f>
        <v>МОУ "СОШ с. Шумейка"</v>
      </c>
      <c r="E34" s="47">
        <f ca="1">IFERROR(__xludf.DUMMYFUNCTION("""COMPUTED_VALUE"""),10)</f>
        <v>10</v>
      </c>
      <c r="F34" s="66" t="str">
        <f ca="1">IFERROR(__xludf.DUMMYFUNCTION("""COMPUTED_VALUE"""),"Полякова Наталия Викторовна")</f>
        <v>Полякова Наталия Викторовна</v>
      </c>
      <c r="G34" s="47">
        <f ca="1">IFERROR(__xludf.DUMMYFUNCTION("""COMPUTED_VALUE"""),5)</f>
        <v>5</v>
      </c>
      <c r="H34" s="47">
        <f ca="1">IFERROR(__xludf.DUMMYFUNCTION("""COMPUTED_VALUE"""),4)</f>
        <v>4</v>
      </c>
      <c r="I34" s="47">
        <f ca="1">IFERROR(__xludf.DUMMYFUNCTION("""COMPUTED_VALUE"""),5)</f>
        <v>5</v>
      </c>
      <c r="J34" s="47">
        <f ca="1">IFERROR(__xludf.DUMMYFUNCTION("""COMPUTED_VALUE"""),4)</f>
        <v>4</v>
      </c>
      <c r="K34" s="47">
        <f ca="1">IFERROR(__xludf.DUMMYFUNCTION("""COMPUTED_VALUE"""),3)</f>
        <v>3</v>
      </c>
      <c r="L34" s="47"/>
      <c r="M34" s="47"/>
      <c r="N34" s="47"/>
      <c r="O34" s="47">
        <f t="shared" ca="1" si="0"/>
        <v>21</v>
      </c>
      <c r="P34" s="47"/>
      <c r="Q34" s="47">
        <f t="shared" ca="1" si="1"/>
        <v>21</v>
      </c>
      <c r="R34" s="47">
        <v>28</v>
      </c>
      <c r="S34" s="48" t="s">
        <v>83</v>
      </c>
      <c r="T34" s="48"/>
    </row>
    <row r="35" spans="1:20" ht="12.75" x14ac:dyDescent="0.2">
      <c r="A35" s="49">
        <v>29</v>
      </c>
      <c r="B35" s="71" t="str">
        <f ca="1">IFERROR(__xludf.DUMMYFUNCTION("IMPORTRANGE(""https://docs.google.com/spreadsheets/d/16CWr8ky6L0i1S4UOLMYHizeHS6aZnIDEnQPyRJyTpcI/edit#gid=0"", ""СОШ №19!B38:O40"")"),"Соловьева Екатерина Александровна")</f>
        <v>Соловьева Екатерина Александровна</v>
      </c>
      <c r="C35" s="66"/>
      <c r="D35" s="73" t="str">
        <f ca="1">IFERROR(__xludf.DUMMYFUNCTION("""COMPUTED_VALUE"""),"МОУ ""СОШ №19""")</f>
        <v>МОУ "СОШ №19"</v>
      </c>
      <c r="E35" s="47">
        <f ca="1">IFERROR(__xludf.DUMMYFUNCTION("""COMPUTED_VALUE"""),10)</f>
        <v>10</v>
      </c>
      <c r="F35" s="66" t="str">
        <f ca="1">IFERROR(__xludf.DUMMYFUNCTION("""COMPUTED_VALUE"""),"Карташова Анна Александровна")</f>
        <v>Карташова Анна Александровна</v>
      </c>
      <c r="G35" s="47">
        <f ca="1">IFERROR(__xludf.DUMMYFUNCTION("""COMPUTED_VALUE"""),8)</f>
        <v>8</v>
      </c>
      <c r="H35" s="47">
        <f ca="1">IFERROR(__xludf.DUMMYFUNCTION("""COMPUTED_VALUE"""),2)</f>
        <v>2</v>
      </c>
      <c r="I35" s="47">
        <f ca="1">IFERROR(__xludf.DUMMYFUNCTION("""COMPUTED_VALUE"""),6)</f>
        <v>6</v>
      </c>
      <c r="J35" s="47">
        <f ca="1">IFERROR(__xludf.DUMMYFUNCTION("""COMPUTED_VALUE"""),4)</f>
        <v>4</v>
      </c>
      <c r="K35" s="47">
        <f ca="1">IFERROR(__xludf.DUMMYFUNCTION("""COMPUTED_VALUE"""),1)</f>
        <v>1</v>
      </c>
      <c r="L35" s="47"/>
      <c r="M35" s="47"/>
      <c r="N35" s="47"/>
      <c r="O35" s="47">
        <f t="shared" ca="1" si="0"/>
        <v>21</v>
      </c>
      <c r="P35" s="47"/>
      <c r="Q35" s="47">
        <f t="shared" ca="1" si="1"/>
        <v>21</v>
      </c>
      <c r="R35" s="48">
        <v>29</v>
      </c>
      <c r="S35" s="48" t="s">
        <v>83</v>
      </c>
      <c r="T35" s="48"/>
    </row>
    <row r="36" spans="1:20" ht="12.75" x14ac:dyDescent="0.2">
      <c r="A36" s="49">
        <v>30</v>
      </c>
      <c r="B36" s="70" t="str">
        <f ca="1">IFERROR(__xludf.DUMMYFUNCTION("""COMPUTED_VALUE"""),"Литвиненко Ксения Павловна")</f>
        <v>Литвиненко Ксения Павловна</v>
      </c>
      <c r="C36" s="70"/>
      <c r="D36" s="72" t="str">
        <f ca="1">IFERROR(__xludf.DUMMYFUNCTION("""COMPUTED_VALUE"""),"МОУ ""СОШ №1""")</f>
        <v>МОУ "СОШ №1"</v>
      </c>
      <c r="E36" s="48">
        <f ca="1">IFERROR(__xludf.DUMMYFUNCTION("""COMPUTED_VALUE"""),10)</f>
        <v>10</v>
      </c>
      <c r="F36" s="70" t="str">
        <f ca="1">IFERROR(__xludf.DUMMYFUNCTION("""COMPUTED_VALUE"""),"Решетникова Светлана Евгеньевна")</f>
        <v>Решетникова Светлана Евгеньевна</v>
      </c>
      <c r="G36" s="48">
        <f ca="1">IFERROR(__xludf.DUMMYFUNCTION("""COMPUTED_VALUE"""),4)</f>
        <v>4</v>
      </c>
      <c r="H36" s="48">
        <f ca="1">IFERROR(__xludf.DUMMYFUNCTION("""COMPUTED_VALUE"""),5)</f>
        <v>5</v>
      </c>
      <c r="I36" s="48">
        <f ca="1">IFERROR(__xludf.DUMMYFUNCTION("""COMPUTED_VALUE"""),5)</f>
        <v>5</v>
      </c>
      <c r="J36" s="48">
        <f ca="1">IFERROR(__xludf.DUMMYFUNCTION("""COMPUTED_VALUE"""),4)</f>
        <v>4</v>
      </c>
      <c r="K36" s="48">
        <f ca="1">IFERROR(__xludf.DUMMYFUNCTION("""COMPUTED_VALUE"""),2)</f>
        <v>2</v>
      </c>
      <c r="L36" s="48"/>
      <c r="M36" s="48"/>
      <c r="N36" s="48"/>
      <c r="O36" s="47">
        <f t="shared" ca="1" si="0"/>
        <v>20</v>
      </c>
      <c r="P36" s="48"/>
      <c r="Q36" s="47">
        <f t="shared" ca="1" si="1"/>
        <v>20</v>
      </c>
      <c r="R36" s="48">
        <v>30</v>
      </c>
      <c r="S36" s="48" t="s">
        <v>83</v>
      </c>
      <c r="T36" s="48"/>
    </row>
    <row r="37" spans="1:20" ht="12.75" x14ac:dyDescent="0.2">
      <c r="A37" s="49">
        <v>31</v>
      </c>
      <c r="B37" s="70" t="str">
        <f ca="1">IFERROR(__xludf.DUMMYFUNCTION("""COMPUTED_VALUE"""),"Амирова Юлия Романовна")</f>
        <v>Амирова Юлия Романовна</v>
      </c>
      <c r="C37" s="70"/>
      <c r="D37" s="72" t="str">
        <f ca="1">IFERROR(__xludf.DUMMYFUNCTION("""COMPUTED_VALUE"""),"МОУ ""СОШ им. Ю.А. Гагарина """)</f>
        <v>МОУ "СОШ им. Ю.А. Гагарина "</v>
      </c>
      <c r="E37" s="48">
        <f ca="1">IFERROR(__xludf.DUMMYFUNCTION("""COMPUTED_VALUE"""),10)</f>
        <v>10</v>
      </c>
      <c r="F37" s="70" t="str">
        <f ca="1">IFERROR(__xludf.DUMMYFUNCTION("""COMPUTED_VALUE"""),"Мищенко Ирина Николаевна")</f>
        <v>Мищенко Ирина Николаевна</v>
      </c>
      <c r="G37" s="48">
        <f ca="1">IFERROR(__xludf.DUMMYFUNCTION("""COMPUTED_VALUE"""),9)</f>
        <v>9</v>
      </c>
      <c r="H37" s="48">
        <f ca="1">IFERROR(__xludf.DUMMYFUNCTION("""COMPUTED_VALUE"""),4)</f>
        <v>4</v>
      </c>
      <c r="I37" s="48">
        <f ca="1">IFERROR(__xludf.DUMMYFUNCTION("""COMPUTED_VALUE"""),2)</f>
        <v>2</v>
      </c>
      <c r="J37" s="48">
        <f ca="1">IFERROR(__xludf.DUMMYFUNCTION("""COMPUTED_VALUE"""),4)</f>
        <v>4</v>
      </c>
      <c r="K37" s="48">
        <f ca="1">IFERROR(__xludf.DUMMYFUNCTION("""COMPUTED_VALUE"""),1)</f>
        <v>1</v>
      </c>
      <c r="L37" s="48"/>
      <c r="M37" s="48"/>
      <c r="N37" s="48"/>
      <c r="O37" s="47">
        <f t="shared" ca="1" si="0"/>
        <v>20</v>
      </c>
      <c r="P37" s="48"/>
      <c r="Q37" s="47">
        <f t="shared" ca="1" si="1"/>
        <v>20</v>
      </c>
      <c r="R37" s="47">
        <v>31</v>
      </c>
      <c r="S37" s="48" t="s">
        <v>83</v>
      </c>
      <c r="T37" s="48"/>
    </row>
    <row r="38" spans="1:20" ht="12.75" x14ac:dyDescent="0.2">
      <c r="A38" s="49">
        <v>32</v>
      </c>
      <c r="B38" s="70" t="str">
        <f ca="1">IFERROR(__xludf.DUMMYFUNCTION("""COMPUTED_VALUE"""),"Соинов Артём Дмитриевич")</f>
        <v>Соинов Артём Дмитриевич</v>
      </c>
      <c r="C38" s="70"/>
      <c r="D38" s="72" t="str">
        <f ca="1">IFERROR(__xludf.DUMMYFUNCTION("""COMPUTED_VALUE"""),"МОУ ""СОШ им. Ю.А. Гагарина """)</f>
        <v>МОУ "СОШ им. Ю.А. Гагарина "</v>
      </c>
      <c r="E38" s="48">
        <f ca="1">IFERROR(__xludf.DUMMYFUNCTION("""COMPUTED_VALUE"""),10)</f>
        <v>10</v>
      </c>
      <c r="F38" s="70" t="str">
        <f ca="1">IFERROR(__xludf.DUMMYFUNCTION("""COMPUTED_VALUE"""),"Мищенко Ирина Николаевна")</f>
        <v>Мищенко Ирина Николаевна</v>
      </c>
      <c r="G38" s="48">
        <f ca="1">IFERROR(__xludf.DUMMYFUNCTION("""COMPUTED_VALUE"""),6)</f>
        <v>6</v>
      </c>
      <c r="H38" s="48">
        <f ca="1">IFERROR(__xludf.DUMMYFUNCTION("""COMPUTED_VALUE"""),4)</f>
        <v>4</v>
      </c>
      <c r="I38" s="48">
        <f ca="1">IFERROR(__xludf.DUMMYFUNCTION("""COMPUTED_VALUE"""),5)</f>
        <v>5</v>
      </c>
      <c r="J38" s="48">
        <f ca="1">IFERROR(__xludf.DUMMYFUNCTION("""COMPUTED_VALUE"""),4)</f>
        <v>4</v>
      </c>
      <c r="K38" s="48">
        <f ca="1">IFERROR(__xludf.DUMMYFUNCTION("""COMPUTED_VALUE"""),1)</f>
        <v>1</v>
      </c>
      <c r="L38" s="48"/>
      <c r="M38" s="48"/>
      <c r="N38" s="48"/>
      <c r="O38" s="47">
        <f t="shared" ca="1" si="0"/>
        <v>20</v>
      </c>
      <c r="P38" s="48"/>
      <c r="Q38" s="47">
        <f t="shared" ca="1" si="1"/>
        <v>20</v>
      </c>
      <c r="R38" s="48">
        <v>32</v>
      </c>
      <c r="S38" s="48" t="s">
        <v>83</v>
      </c>
      <c r="T38" s="48"/>
    </row>
    <row r="39" spans="1:20" ht="12.75" x14ac:dyDescent="0.2">
      <c r="A39" s="49">
        <v>33</v>
      </c>
      <c r="B39" s="70" t="str">
        <f ca="1">IFERROR(__xludf.DUMMYFUNCTION("""COMPUTED_VALUE"""),"Самохвалова Алена Андреевна")</f>
        <v>Самохвалова Алена Андреевна</v>
      </c>
      <c r="C39" s="70"/>
      <c r="D39" s="72" t="str">
        <f ca="1">IFERROR(__xludf.DUMMYFUNCTION("""COMPUTED_VALUE"""),"МОУ ""СОШ №19""")</f>
        <v>МОУ "СОШ №19"</v>
      </c>
      <c r="E39" s="48">
        <f ca="1">IFERROR(__xludf.DUMMYFUNCTION("""COMPUTED_VALUE"""),10)</f>
        <v>10</v>
      </c>
      <c r="F39" s="70" t="str">
        <f ca="1">IFERROR(__xludf.DUMMYFUNCTION("""COMPUTED_VALUE"""),"Карташова Анна Александровна")</f>
        <v>Карташова Анна Александровна</v>
      </c>
      <c r="G39" s="48">
        <f ca="1">IFERROR(__xludf.DUMMYFUNCTION("""COMPUTED_VALUE"""),8)</f>
        <v>8</v>
      </c>
      <c r="H39" s="48">
        <f ca="1">IFERROR(__xludf.DUMMYFUNCTION("""COMPUTED_VALUE"""),4)</f>
        <v>4</v>
      </c>
      <c r="I39" s="48">
        <f ca="1">IFERROR(__xludf.DUMMYFUNCTION("""COMPUTED_VALUE"""),4)</f>
        <v>4</v>
      </c>
      <c r="J39" s="48">
        <f ca="1">IFERROR(__xludf.DUMMYFUNCTION("""COMPUTED_VALUE"""),4)</f>
        <v>4</v>
      </c>
      <c r="K39" s="48">
        <f ca="1">IFERROR(__xludf.DUMMYFUNCTION("""COMPUTED_VALUE"""),0)</f>
        <v>0</v>
      </c>
      <c r="L39" s="48"/>
      <c r="M39" s="48"/>
      <c r="N39" s="48"/>
      <c r="O39" s="47">
        <f t="shared" ca="1" si="0"/>
        <v>20</v>
      </c>
      <c r="P39" s="48"/>
      <c r="Q39" s="47">
        <f t="shared" ca="1" si="1"/>
        <v>20</v>
      </c>
      <c r="R39" s="48">
        <v>33</v>
      </c>
      <c r="S39" s="48" t="s">
        <v>83</v>
      </c>
      <c r="T39" s="48"/>
    </row>
    <row r="40" spans="1:20" ht="12.75" x14ac:dyDescent="0.2">
      <c r="A40" s="49">
        <v>34</v>
      </c>
      <c r="B40" s="70" t="str">
        <f ca="1">IFERROR(__xludf.DUMMYFUNCTION("IMPORTRANGE(""https://docs.google.com/spreadsheets/d/16CWr8ky6L0i1S4UOLMYHizeHS6aZnIDEnQPyRJyTpcI/edit#gid=0"", ""СОШ №31!B28:O32"")"),"Митяева Алина Константиновна")</f>
        <v>Митяева Алина Константиновна</v>
      </c>
      <c r="C40" s="70"/>
      <c r="D40" s="72" t="str">
        <f ca="1">IFERROR(__xludf.DUMMYFUNCTION("""COMPUTED_VALUE"""),"МОУ ""СОШ №31""")</f>
        <v>МОУ "СОШ №31"</v>
      </c>
      <c r="E40" s="48">
        <f ca="1">IFERROR(__xludf.DUMMYFUNCTION("""COMPUTED_VALUE"""),10)</f>
        <v>10</v>
      </c>
      <c r="F40" s="70" t="str">
        <f ca="1">IFERROR(__xludf.DUMMYFUNCTION("""COMPUTED_VALUE"""),"Котлярова Евгения Владимировна")</f>
        <v>Котлярова Евгения Владимировна</v>
      </c>
      <c r="G40" s="48">
        <f ca="1">IFERROR(__xludf.DUMMYFUNCTION("""COMPUTED_VALUE"""),6)</f>
        <v>6</v>
      </c>
      <c r="H40" s="48">
        <f ca="1">IFERROR(__xludf.DUMMYFUNCTION("""COMPUTED_VALUE"""),4)</f>
        <v>4</v>
      </c>
      <c r="I40" s="48">
        <f ca="1">IFERROR(__xludf.DUMMYFUNCTION("""COMPUTED_VALUE"""),6)</f>
        <v>6</v>
      </c>
      <c r="J40" s="48">
        <f ca="1">IFERROR(__xludf.DUMMYFUNCTION("""COMPUTED_VALUE"""),4)</f>
        <v>4</v>
      </c>
      <c r="K40" s="48">
        <f ca="1">IFERROR(__xludf.DUMMYFUNCTION("""COMPUTED_VALUE"""),0)</f>
        <v>0</v>
      </c>
      <c r="L40" s="48"/>
      <c r="M40" s="48"/>
      <c r="N40" s="48"/>
      <c r="O40" s="47">
        <f t="shared" ca="1" si="0"/>
        <v>20</v>
      </c>
      <c r="P40" s="48"/>
      <c r="Q40" s="47">
        <f t="shared" ca="1" si="1"/>
        <v>20</v>
      </c>
      <c r="R40" s="47">
        <v>34</v>
      </c>
      <c r="S40" s="48" t="s">
        <v>83</v>
      </c>
      <c r="T40" s="48"/>
    </row>
    <row r="41" spans="1:20" ht="12.75" x14ac:dyDescent="0.2">
      <c r="A41" s="49">
        <v>35</v>
      </c>
      <c r="B41" s="71" t="str">
        <f ca="1">IFERROR(__xludf.DUMMYFUNCTION("IMPORTRANGE(""https://docs.google.com/spreadsheets/d/16CWr8ky6L0i1S4UOLMYHizeHS6aZnIDEnQPyRJyTpcI/edit#gid=0"", ""СОШ №19!B56:O56"")"),"Смирнов Евгений Дмитриевич")</f>
        <v>Смирнов Евгений Дмитриевич</v>
      </c>
      <c r="C41" s="66"/>
      <c r="D41" s="73" t="str">
        <f ca="1">IFERROR(__xludf.DUMMYFUNCTION("""COMPUTED_VALUE"""),"МОУ ""СОШ №19""")</f>
        <v>МОУ "СОШ №19"</v>
      </c>
      <c r="E41" s="47">
        <f ca="1">IFERROR(__xludf.DUMMYFUNCTION("""COMPUTED_VALUE"""),10)</f>
        <v>10</v>
      </c>
      <c r="F41" s="66" t="str">
        <f ca="1">IFERROR(__xludf.DUMMYFUNCTION("""COMPUTED_VALUE"""),"Карташова Анна Александровна")</f>
        <v>Карташова Анна Александровна</v>
      </c>
      <c r="G41" s="47">
        <f ca="1">IFERROR(__xludf.DUMMYFUNCTION("""COMPUTED_VALUE"""),6)</f>
        <v>6</v>
      </c>
      <c r="H41" s="47">
        <f ca="1">IFERROR(__xludf.DUMMYFUNCTION("""COMPUTED_VALUE"""),5)</f>
        <v>5</v>
      </c>
      <c r="I41" s="47">
        <f ca="1">IFERROR(__xludf.DUMMYFUNCTION("""COMPUTED_VALUE"""),4)</f>
        <v>4</v>
      </c>
      <c r="J41" s="47">
        <f ca="1">IFERROR(__xludf.DUMMYFUNCTION("""COMPUTED_VALUE"""),4)</f>
        <v>4</v>
      </c>
      <c r="K41" s="47">
        <f ca="1">IFERROR(__xludf.DUMMYFUNCTION("""COMPUTED_VALUE"""),0)</f>
        <v>0</v>
      </c>
      <c r="L41" s="47"/>
      <c r="M41" s="47"/>
      <c r="N41" s="47"/>
      <c r="O41" s="47">
        <f t="shared" ca="1" si="0"/>
        <v>19</v>
      </c>
      <c r="P41" s="47"/>
      <c r="Q41" s="47">
        <f t="shared" ca="1" si="1"/>
        <v>19</v>
      </c>
      <c r="R41" s="48">
        <v>35</v>
      </c>
      <c r="S41" s="48" t="s">
        <v>83</v>
      </c>
      <c r="T41" s="48"/>
    </row>
    <row r="42" spans="1:20" ht="12.75" x14ac:dyDescent="0.2">
      <c r="A42" s="49">
        <v>36</v>
      </c>
      <c r="B42" s="70" t="str">
        <f ca="1">IFERROR(__xludf.DUMMYFUNCTION("""COMPUTED_VALUE"""),"Комаренко Анастасия")</f>
        <v>Комаренко Анастасия</v>
      </c>
      <c r="C42" s="70"/>
      <c r="D42" s="72" t="str">
        <f ca="1">IFERROR(__xludf.DUMMYFUNCTION("""COMPUTED_VALUE"""),"МОУ ""СОШ №31""")</f>
        <v>МОУ "СОШ №31"</v>
      </c>
      <c r="E42" s="48">
        <f ca="1">IFERROR(__xludf.DUMMYFUNCTION("""COMPUTED_VALUE"""),10)</f>
        <v>10</v>
      </c>
      <c r="F42" s="70" t="str">
        <f ca="1">IFERROR(__xludf.DUMMYFUNCTION("""COMPUTED_VALUE"""),"Котлярова Евгения Владимировна")</f>
        <v>Котлярова Евгения Владимировна</v>
      </c>
      <c r="G42" s="48">
        <f ca="1">IFERROR(__xludf.DUMMYFUNCTION("""COMPUTED_VALUE"""),5)</f>
        <v>5</v>
      </c>
      <c r="H42" s="48">
        <f ca="1">IFERROR(__xludf.DUMMYFUNCTION("""COMPUTED_VALUE"""),4)</f>
        <v>4</v>
      </c>
      <c r="I42" s="48">
        <f ca="1">IFERROR(__xludf.DUMMYFUNCTION("""COMPUTED_VALUE"""),5)</f>
        <v>5</v>
      </c>
      <c r="J42" s="48">
        <f ca="1">IFERROR(__xludf.DUMMYFUNCTION("""COMPUTED_VALUE"""),4)</f>
        <v>4</v>
      </c>
      <c r="K42" s="48">
        <f ca="1">IFERROR(__xludf.DUMMYFUNCTION("""COMPUTED_VALUE"""),0)</f>
        <v>0</v>
      </c>
      <c r="L42" s="48"/>
      <c r="M42" s="48"/>
      <c r="N42" s="48"/>
      <c r="O42" s="47">
        <f t="shared" ca="1" si="0"/>
        <v>18</v>
      </c>
      <c r="P42" s="48"/>
      <c r="Q42" s="47">
        <f t="shared" ca="1" si="1"/>
        <v>18</v>
      </c>
      <c r="R42" s="48">
        <v>36</v>
      </c>
      <c r="S42" s="48" t="s">
        <v>83</v>
      </c>
      <c r="T42" s="48"/>
    </row>
    <row r="43" spans="1:20" ht="12.75" x14ac:dyDescent="0.2">
      <c r="A43" s="49">
        <v>37</v>
      </c>
      <c r="B43" s="71" t="str">
        <f ca="1">IFERROR(__xludf.DUMMYFUNCTION("IMPORTRANGE(""https://docs.google.com/spreadsheets/d/16CWr8ky6L0i1S4UOLMYHizeHS6aZnIDEnQPyRJyTpcI/edit#gid=0"", ""СОШ с. Березовка!B28:O32"")"),"Громов Егор Васильевич")</f>
        <v>Громов Егор Васильевич</v>
      </c>
      <c r="C43" s="66"/>
      <c r="D43" s="73" t="str">
        <f ca="1">IFERROR(__xludf.DUMMYFUNCTION("""COMPUTED_VALUE"""),"МОУ ""СОШ с. Березовка""")</f>
        <v>МОУ "СОШ с. Березовка"</v>
      </c>
      <c r="E43" s="47">
        <f ca="1">IFERROR(__xludf.DUMMYFUNCTION("""COMPUTED_VALUE"""),10)</f>
        <v>10</v>
      </c>
      <c r="F43" s="66" t="str">
        <f ca="1">IFERROR(__xludf.DUMMYFUNCTION("""COMPUTED_VALUE"""),"Турсумбек Нагима Айгалиевна")</f>
        <v>Турсумбек Нагима Айгалиевна</v>
      </c>
      <c r="G43" s="47">
        <f ca="1">IFERROR(__xludf.DUMMYFUNCTION("""COMPUTED_VALUE"""),7)</f>
        <v>7</v>
      </c>
      <c r="H43" s="47">
        <f ca="1">IFERROR(__xludf.DUMMYFUNCTION("""COMPUTED_VALUE"""),0)</f>
        <v>0</v>
      </c>
      <c r="I43" s="47">
        <f ca="1">IFERROR(__xludf.DUMMYFUNCTION("""COMPUTED_VALUE"""),5)</f>
        <v>5</v>
      </c>
      <c r="J43" s="47">
        <f ca="1">IFERROR(__xludf.DUMMYFUNCTION("""COMPUTED_VALUE"""),4)</f>
        <v>4</v>
      </c>
      <c r="K43" s="47">
        <f ca="1">IFERROR(__xludf.DUMMYFUNCTION("""COMPUTED_VALUE"""),2)</f>
        <v>2</v>
      </c>
      <c r="L43" s="47"/>
      <c r="M43" s="47"/>
      <c r="N43" s="47"/>
      <c r="O43" s="47">
        <f t="shared" ca="1" si="0"/>
        <v>18</v>
      </c>
      <c r="P43" s="47"/>
      <c r="Q43" s="47">
        <f t="shared" ca="1" si="1"/>
        <v>18</v>
      </c>
      <c r="R43" s="47">
        <v>37</v>
      </c>
      <c r="S43" s="48" t="s">
        <v>83</v>
      </c>
      <c r="T43" s="48"/>
    </row>
    <row r="44" spans="1:20" ht="12.75" x14ac:dyDescent="0.2">
      <c r="A44" s="49">
        <v>38</v>
      </c>
      <c r="B44" s="66" t="str">
        <f ca="1">IFERROR(__xludf.DUMMYFUNCTION("""COMPUTED_VALUE"""),"Шарабанов Георгий Семёнович ")</f>
        <v xml:space="preserve">Шарабанов Георгий Семёнович </v>
      </c>
      <c r="C44" s="66"/>
      <c r="D44" s="73" t="str">
        <f ca="1">IFERROR(__xludf.DUMMYFUNCTION("""COMPUTED_VALUE"""),"МОУ ""СОШ с. Березовка""")</f>
        <v>МОУ "СОШ с. Березовка"</v>
      </c>
      <c r="E44" s="47">
        <f ca="1">IFERROR(__xludf.DUMMYFUNCTION("""COMPUTED_VALUE"""),10)</f>
        <v>10</v>
      </c>
      <c r="F44" s="66" t="str">
        <f ca="1">IFERROR(__xludf.DUMMYFUNCTION("""COMPUTED_VALUE"""),"Турсумбек Нагима Айгалиевна")</f>
        <v>Турсумбек Нагима Айгалиевна</v>
      </c>
      <c r="G44" s="47">
        <f ca="1">IFERROR(__xludf.DUMMYFUNCTION("""COMPUTED_VALUE"""),5)</f>
        <v>5</v>
      </c>
      <c r="H44" s="47">
        <f ca="1">IFERROR(__xludf.DUMMYFUNCTION("""COMPUTED_VALUE"""),4)</f>
        <v>4</v>
      </c>
      <c r="I44" s="47">
        <f ca="1">IFERROR(__xludf.DUMMYFUNCTION("""COMPUTED_VALUE"""),5)</f>
        <v>5</v>
      </c>
      <c r="J44" s="47">
        <f ca="1">IFERROR(__xludf.DUMMYFUNCTION("""COMPUTED_VALUE"""),4)</f>
        <v>4</v>
      </c>
      <c r="K44" s="47">
        <f ca="1">IFERROR(__xludf.DUMMYFUNCTION("""COMPUTED_VALUE"""),0)</f>
        <v>0</v>
      </c>
      <c r="L44" s="47"/>
      <c r="M44" s="47"/>
      <c r="N44" s="47"/>
      <c r="O44" s="47">
        <f t="shared" ca="1" si="0"/>
        <v>18</v>
      </c>
      <c r="P44" s="47"/>
      <c r="Q44" s="47">
        <f t="shared" ca="1" si="1"/>
        <v>18</v>
      </c>
      <c r="R44" s="48">
        <v>38</v>
      </c>
      <c r="S44" s="48" t="s">
        <v>83</v>
      </c>
      <c r="T44" s="48"/>
    </row>
    <row r="45" spans="1:20" ht="12.75" x14ac:dyDescent="0.2">
      <c r="A45" s="49">
        <v>39</v>
      </c>
      <c r="B45" s="66" t="str">
        <f ca="1">IFERROR(__xludf.DUMMYFUNCTION("""COMPUTED_VALUE"""),"Качкаева Олеся Евгеньевна")</f>
        <v>Качкаева Олеся Евгеньевна</v>
      </c>
      <c r="C45" s="66"/>
      <c r="D45" s="73" t="str">
        <f ca="1">IFERROR(__xludf.DUMMYFUNCTION("""COMPUTED_VALUE"""),"МОУ ""СОШ №19""")</f>
        <v>МОУ "СОШ №19"</v>
      </c>
      <c r="E45" s="47">
        <f ca="1">IFERROR(__xludf.DUMMYFUNCTION("""COMPUTED_VALUE"""),10)</f>
        <v>10</v>
      </c>
      <c r="F45" s="66" t="str">
        <f ca="1">IFERROR(__xludf.DUMMYFUNCTION("""COMPUTED_VALUE"""),"Карташова Анна Александровна")</f>
        <v>Карташова Анна Александровна</v>
      </c>
      <c r="G45" s="47">
        <f ca="1">IFERROR(__xludf.DUMMYFUNCTION("""COMPUTED_VALUE"""),8)</f>
        <v>8</v>
      </c>
      <c r="H45" s="47">
        <f ca="1">IFERROR(__xludf.DUMMYFUNCTION("""COMPUTED_VALUE"""),2)</f>
        <v>2</v>
      </c>
      <c r="I45" s="47">
        <f ca="1">IFERROR(__xludf.DUMMYFUNCTION("""COMPUTED_VALUE"""),3)</f>
        <v>3</v>
      </c>
      <c r="J45" s="47">
        <f ca="1">IFERROR(__xludf.DUMMYFUNCTION("""COMPUTED_VALUE"""),4)</f>
        <v>4</v>
      </c>
      <c r="K45" s="47">
        <f ca="1">IFERROR(__xludf.DUMMYFUNCTION("""COMPUTED_VALUE"""),1)</f>
        <v>1</v>
      </c>
      <c r="L45" s="47"/>
      <c r="M45" s="47"/>
      <c r="N45" s="47"/>
      <c r="O45" s="47">
        <f t="shared" ca="1" si="0"/>
        <v>18</v>
      </c>
      <c r="P45" s="47"/>
      <c r="Q45" s="47">
        <f t="shared" ca="1" si="1"/>
        <v>18</v>
      </c>
      <c r="R45" s="48">
        <v>39</v>
      </c>
      <c r="S45" s="48" t="s">
        <v>83</v>
      </c>
      <c r="T45" s="48"/>
    </row>
    <row r="46" spans="1:20" ht="12.75" x14ac:dyDescent="0.2">
      <c r="A46" s="49">
        <v>40</v>
      </c>
      <c r="B46" s="66" t="str">
        <f ca="1">IFERROR(__xludf.DUMMYFUNCTION("""COMPUTED_VALUE"""),"Ахмедов Хуршед Умеджонович")</f>
        <v>Ахмедов Хуршед Умеджонович</v>
      </c>
      <c r="C46" s="66"/>
      <c r="D46" s="73" t="str">
        <f ca="1">IFERROR(__xludf.DUMMYFUNCTION("""COMPUTED_VALUE"""),"МОУ ""СОШ №19""")</f>
        <v>МОУ "СОШ №19"</v>
      </c>
      <c r="E46" s="47">
        <f ca="1">IFERROR(__xludf.DUMMYFUNCTION("""COMPUTED_VALUE"""),10)</f>
        <v>10</v>
      </c>
      <c r="F46" s="66" t="str">
        <f ca="1">IFERROR(__xludf.DUMMYFUNCTION("""COMPUTED_VALUE"""),"Карташова Анна Александровна")</f>
        <v>Карташова Анна Александровна</v>
      </c>
      <c r="G46" s="47">
        <f ca="1">IFERROR(__xludf.DUMMYFUNCTION("""COMPUTED_VALUE"""),4)</f>
        <v>4</v>
      </c>
      <c r="H46" s="47">
        <f ca="1">IFERROR(__xludf.DUMMYFUNCTION("""COMPUTED_VALUE"""),2)</f>
        <v>2</v>
      </c>
      <c r="I46" s="47">
        <f ca="1">IFERROR(__xludf.DUMMYFUNCTION("""COMPUTED_VALUE"""),7)</f>
        <v>7</v>
      </c>
      <c r="J46" s="47">
        <f ca="1">IFERROR(__xludf.DUMMYFUNCTION("""COMPUTED_VALUE"""),4)</f>
        <v>4</v>
      </c>
      <c r="K46" s="47">
        <f ca="1">IFERROR(__xludf.DUMMYFUNCTION("""COMPUTED_VALUE"""),1)</f>
        <v>1</v>
      </c>
      <c r="L46" s="47"/>
      <c r="M46" s="47"/>
      <c r="N46" s="47"/>
      <c r="O46" s="47">
        <f t="shared" ca="1" si="0"/>
        <v>18</v>
      </c>
      <c r="P46" s="47"/>
      <c r="Q46" s="47">
        <f t="shared" ca="1" si="1"/>
        <v>18</v>
      </c>
      <c r="R46" s="47">
        <v>40</v>
      </c>
      <c r="S46" s="48" t="s">
        <v>83</v>
      </c>
      <c r="T46" s="48"/>
    </row>
    <row r="47" spans="1:20" ht="12.75" x14ac:dyDescent="0.2">
      <c r="A47" s="49">
        <v>41</v>
      </c>
      <c r="B47" s="70" t="str">
        <f ca="1">IFERROR(__xludf.DUMMYFUNCTION("IMPORTRANGE(""https://docs.google.com/spreadsheets/d/16CWr8ky6L0i1S4UOLMYHizeHS6aZnIDEnQPyRJyTpcI/edit#gid=0"", ""СОШ №1!B28:O32"")"),"Гребенюк Ольга Олеговна")</f>
        <v>Гребенюк Ольга Олеговна</v>
      </c>
      <c r="C47" s="70"/>
      <c r="D47" s="72" t="str">
        <f ca="1">IFERROR(__xludf.DUMMYFUNCTION("""COMPUTED_VALUE"""),"МОУ ""СОШ №1""")</f>
        <v>МОУ "СОШ №1"</v>
      </c>
      <c r="E47" s="48">
        <f ca="1">IFERROR(__xludf.DUMMYFUNCTION("""COMPUTED_VALUE"""),10)</f>
        <v>10</v>
      </c>
      <c r="F47" s="70" t="str">
        <f ca="1">IFERROR(__xludf.DUMMYFUNCTION("""COMPUTED_VALUE"""),"Решетникова Светлана Евгеньевна")</f>
        <v>Решетникова Светлана Евгеньевна</v>
      </c>
      <c r="G47" s="48">
        <f ca="1">IFERROR(__xludf.DUMMYFUNCTION("""COMPUTED_VALUE"""),3)</f>
        <v>3</v>
      </c>
      <c r="H47" s="48">
        <f ca="1">IFERROR(__xludf.DUMMYFUNCTION("""COMPUTED_VALUE"""),4)</f>
        <v>4</v>
      </c>
      <c r="I47" s="48">
        <f ca="1">IFERROR(__xludf.DUMMYFUNCTION("""COMPUTED_VALUE"""),5)</f>
        <v>5</v>
      </c>
      <c r="J47" s="48">
        <f ca="1">IFERROR(__xludf.DUMMYFUNCTION("""COMPUTED_VALUE"""),4)</f>
        <v>4</v>
      </c>
      <c r="K47" s="48">
        <f ca="1">IFERROR(__xludf.DUMMYFUNCTION("""COMPUTED_VALUE"""),0)</f>
        <v>0</v>
      </c>
      <c r="L47" s="48"/>
      <c r="M47" s="48"/>
      <c r="N47" s="48"/>
      <c r="O47" s="47">
        <f t="shared" ca="1" si="0"/>
        <v>16</v>
      </c>
      <c r="P47" s="48"/>
      <c r="Q47" s="47">
        <f t="shared" ca="1" si="1"/>
        <v>16</v>
      </c>
      <c r="R47" s="48">
        <v>41</v>
      </c>
      <c r="S47" s="48" t="s">
        <v>88</v>
      </c>
      <c r="T47" s="48"/>
    </row>
    <row r="48" spans="1:20" ht="12.75" x14ac:dyDescent="0.2">
      <c r="A48" s="49">
        <v>42</v>
      </c>
      <c r="B48" s="70" t="str">
        <f ca="1">IFERROR(__xludf.DUMMYFUNCTION("""COMPUTED_VALUE"""),"Круглова Софья Алекссеввна")</f>
        <v>Круглова Софья Алекссеввна</v>
      </c>
      <c r="C48" s="70"/>
      <c r="D48" s="72" t="str">
        <f ca="1">IFERROR(__xludf.DUMMYFUNCTION("""COMPUTED_VALUE"""),"МОУ ""СОШ №1""")</f>
        <v>МОУ "СОШ №1"</v>
      </c>
      <c r="E48" s="48">
        <f ca="1">IFERROR(__xludf.DUMMYFUNCTION("""COMPUTED_VALUE"""),10)</f>
        <v>10</v>
      </c>
      <c r="F48" s="70" t="str">
        <f ca="1">IFERROR(__xludf.DUMMYFUNCTION("""COMPUTED_VALUE"""),"Решетникова Светлана Евгеньевна")</f>
        <v>Решетникова Светлана Евгеньевна</v>
      </c>
      <c r="G48" s="48">
        <f ca="1">IFERROR(__xludf.DUMMYFUNCTION("""COMPUTED_VALUE"""),2)</f>
        <v>2</v>
      </c>
      <c r="H48" s="48">
        <f ca="1">IFERROR(__xludf.DUMMYFUNCTION("""COMPUTED_VALUE"""),4)</f>
        <v>4</v>
      </c>
      <c r="I48" s="48">
        <f ca="1">IFERROR(__xludf.DUMMYFUNCTION("""COMPUTED_VALUE"""),5)</f>
        <v>5</v>
      </c>
      <c r="J48" s="48">
        <f ca="1">IFERROR(__xludf.DUMMYFUNCTION("""COMPUTED_VALUE"""),0)</f>
        <v>0</v>
      </c>
      <c r="K48" s="48">
        <f ca="1">IFERROR(__xludf.DUMMYFUNCTION("""COMPUTED_VALUE"""),1)</f>
        <v>1</v>
      </c>
      <c r="L48" s="48"/>
      <c r="M48" s="48"/>
      <c r="N48" s="48"/>
      <c r="O48" s="47">
        <f t="shared" ca="1" si="0"/>
        <v>12</v>
      </c>
      <c r="P48" s="48"/>
      <c r="Q48" s="47">
        <f t="shared" ca="1" si="1"/>
        <v>12</v>
      </c>
      <c r="R48" s="48">
        <v>42</v>
      </c>
      <c r="S48" s="48" t="s">
        <v>88</v>
      </c>
      <c r="T48" s="48"/>
    </row>
    <row r="49" spans="1:20" ht="12.75" x14ac:dyDescent="0.2">
      <c r="A49" s="49">
        <v>43</v>
      </c>
      <c r="B49" s="70" t="str">
        <f ca="1">IFERROR(__xludf.DUMMYFUNCTION("""COMPUTED_VALUE"""),"Махрова Виктория Павловна")</f>
        <v>Махрова Виктория Павловна</v>
      </c>
      <c r="C49" s="70"/>
      <c r="D49" s="72" t="str">
        <f ca="1">IFERROR(__xludf.DUMMYFUNCTION("""COMPUTED_VALUE"""),"МОУ ""СОШ №1""")</f>
        <v>МОУ "СОШ №1"</v>
      </c>
      <c r="E49" s="48">
        <f ca="1">IFERROR(__xludf.DUMMYFUNCTION("""COMPUTED_VALUE"""),10)</f>
        <v>10</v>
      </c>
      <c r="F49" s="70" t="str">
        <f ca="1">IFERROR(__xludf.DUMMYFUNCTION("""COMPUTED_VALUE"""),"Борцова Оксана Юрьевна")</f>
        <v>Борцова Оксана Юрьевна</v>
      </c>
      <c r="G49" s="48">
        <f ca="1">IFERROR(__xludf.DUMMYFUNCTION("""COMPUTED_VALUE"""),3)</f>
        <v>3</v>
      </c>
      <c r="H49" s="48">
        <f ca="1">IFERROR(__xludf.DUMMYFUNCTION("""COMPUTED_VALUE"""),3)</f>
        <v>3</v>
      </c>
      <c r="I49" s="48">
        <f ca="1">IFERROR(__xludf.DUMMYFUNCTION("""COMPUTED_VALUE"""),4)</f>
        <v>4</v>
      </c>
      <c r="J49" s="48">
        <f ca="1">IFERROR(__xludf.DUMMYFUNCTION("""COMPUTED_VALUE"""),0)</f>
        <v>0</v>
      </c>
      <c r="K49" s="48">
        <f ca="1">IFERROR(__xludf.DUMMYFUNCTION("""COMPUTED_VALUE"""),0)</f>
        <v>0</v>
      </c>
      <c r="L49" s="48"/>
      <c r="M49" s="48"/>
      <c r="N49" s="48"/>
      <c r="O49" s="47">
        <f t="shared" ca="1" si="0"/>
        <v>10</v>
      </c>
      <c r="P49" s="48"/>
      <c r="Q49" s="47">
        <f t="shared" ca="1" si="1"/>
        <v>10</v>
      </c>
      <c r="R49" s="47">
        <v>43</v>
      </c>
      <c r="S49" s="48" t="s">
        <v>88</v>
      </c>
      <c r="T49" s="48"/>
    </row>
  </sheetData>
  <sortState ref="B3:S328">
    <sortCondition descending="1" ref="O3:O328"/>
  </sortState>
  <mergeCells count="5">
    <mergeCell ref="A2:S2"/>
    <mergeCell ref="A3:S3"/>
    <mergeCell ref="A4:S4"/>
    <mergeCell ref="C5:C6"/>
    <mergeCell ref="S5:T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U54"/>
  <sheetViews>
    <sheetView topLeftCell="G1" workbookViewId="0">
      <selection activeCell="U6" sqref="U6:U17"/>
    </sheetView>
  </sheetViews>
  <sheetFormatPr defaultColWidth="14.42578125" defaultRowHeight="15.75" customHeight="1" x14ac:dyDescent="0.2"/>
  <cols>
    <col min="1" max="1" width="7" customWidth="1"/>
    <col min="2" max="2" width="33.85546875" customWidth="1"/>
    <col min="3" max="3" width="14.28515625" customWidth="1"/>
    <col min="4" max="4" width="35.5703125" customWidth="1"/>
    <col min="5" max="5" width="9.85546875" customWidth="1"/>
    <col min="6" max="6" width="32.85546875" customWidth="1"/>
    <col min="7" max="11" width="10.85546875" customWidth="1"/>
    <col min="12" max="14" width="10.85546875" hidden="1" customWidth="1"/>
    <col min="15" max="15" width="14.85546875" customWidth="1"/>
    <col min="17" max="17" width="10.140625" customWidth="1"/>
    <col min="18" max="18" width="10.85546875" customWidth="1"/>
    <col min="20" max="20" width="34.42578125" customWidth="1"/>
  </cols>
  <sheetData>
    <row r="2" spans="1:21" ht="15.75" customHeight="1" x14ac:dyDescent="0.25">
      <c r="A2" s="121" t="s">
        <v>101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21"/>
    </row>
    <row r="3" spans="1:21" ht="15.75" customHeight="1" x14ac:dyDescent="0.25">
      <c r="A3" s="108" t="s">
        <v>102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77"/>
    </row>
    <row r="4" spans="1:21" ht="15.75" customHeight="1" x14ac:dyDescent="0.25">
      <c r="A4" s="122" t="s">
        <v>105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08"/>
      <c r="T4" s="77"/>
    </row>
    <row r="5" spans="1:21" ht="12.75" x14ac:dyDescent="0.2">
      <c r="A5" s="118" t="s">
        <v>0</v>
      </c>
      <c r="B5" s="118" t="s">
        <v>1</v>
      </c>
      <c r="C5" s="118" t="s">
        <v>2</v>
      </c>
      <c r="D5" s="118" t="s">
        <v>3</v>
      </c>
      <c r="E5" s="118" t="s">
        <v>4</v>
      </c>
      <c r="F5" s="118" t="s">
        <v>5</v>
      </c>
      <c r="G5" s="116" t="s">
        <v>6</v>
      </c>
      <c r="H5" s="125"/>
      <c r="I5" s="125"/>
      <c r="J5" s="125"/>
      <c r="K5" s="125"/>
      <c r="L5" s="126"/>
      <c r="M5" s="31"/>
      <c r="N5" s="31"/>
      <c r="O5" s="78" t="s">
        <v>12</v>
      </c>
      <c r="P5" s="78" t="s">
        <v>8</v>
      </c>
      <c r="Q5" s="78" t="s">
        <v>9</v>
      </c>
      <c r="R5" s="97" t="s">
        <v>10</v>
      </c>
      <c r="S5" s="120" t="s">
        <v>11</v>
      </c>
      <c r="T5" s="120"/>
    </row>
    <row r="6" spans="1:21" ht="12.75" x14ac:dyDescent="0.2">
      <c r="A6" s="119"/>
      <c r="B6" s="119"/>
      <c r="C6" s="119"/>
      <c r="D6" s="119"/>
      <c r="E6" s="119"/>
      <c r="F6" s="119"/>
      <c r="G6" s="93" t="s">
        <v>48</v>
      </c>
      <c r="H6" s="93" t="s">
        <v>76</v>
      </c>
      <c r="I6" s="93" t="s">
        <v>77</v>
      </c>
      <c r="J6" s="93" t="s">
        <v>78</v>
      </c>
      <c r="K6" s="93" t="s">
        <v>79</v>
      </c>
      <c r="L6" s="93"/>
      <c r="M6" s="93"/>
      <c r="N6" s="93"/>
      <c r="O6" s="93" t="s">
        <v>72</v>
      </c>
      <c r="P6" s="93"/>
      <c r="Q6" s="93"/>
      <c r="R6" s="98"/>
      <c r="S6" s="80"/>
      <c r="T6" s="80"/>
      <c r="U6" s="101" t="s">
        <v>134</v>
      </c>
    </row>
    <row r="7" spans="1:21" ht="12.75" x14ac:dyDescent="0.2">
      <c r="A7" s="48">
        <v>1</v>
      </c>
      <c r="B7" s="36" t="str">
        <f ca="1">IFERROR(__xludf.DUMMYFUNCTION("""COMPUTED_VALUE"""),"Иванова Юлия Игоревна")</f>
        <v>Иванова Юлия Игоревна</v>
      </c>
      <c r="C7" s="36"/>
      <c r="D7" s="40" t="str">
        <f ca="1">IFERROR(__xludf.DUMMYFUNCTION("""COMPUTED_VALUE"""),"МОУ ""СОШ им. Ю.А. Гагарина """)</f>
        <v>МОУ "СОШ им. Ю.А. Гагарина "</v>
      </c>
      <c r="E7" s="48">
        <f ca="1">IFERROR(__xludf.DUMMYFUNCTION("""COMPUTED_VALUE"""),11)</f>
        <v>11</v>
      </c>
      <c r="F7" s="36" t="str">
        <f ca="1">IFERROR(__xludf.DUMMYFUNCTION("""COMPUTED_VALUE"""),"Павлова Лариса Сергеевна")</f>
        <v>Павлова Лариса Сергеевна</v>
      </c>
      <c r="G7" s="48">
        <f ca="1">IFERROR(__xludf.DUMMYFUNCTION("""COMPUTED_VALUE"""),10)</f>
        <v>10</v>
      </c>
      <c r="H7" s="48">
        <f ca="1">IFERROR(__xludf.DUMMYFUNCTION("""COMPUTED_VALUE"""),6)</f>
        <v>6</v>
      </c>
      <c r="I7" s="48">
        <f ca="1">IFERROR(__xludf.DUMMYFUNCTION("""COMPUTED_VALUE"""),8)</f>
        <v>8</v>
      </c>
      <c r="J7" s="48">
        <f ca="1">IFERROR(__xludf.DUMMYFUNCTION("""COMPUTED_VALUE"""),4)</f>
        <v>4</v>
      </c>
      <c r="K7" s="48">
        <f ca="1">IFERROR(__xludf.DUMMYFUNCTION("""COMPUTED_VALUE"""),3)</f>
        <v>3</v>
      </c>
      <c r="L7" s="48"/>
      <c r="M7" s="48"/>
      <c r="N7" s="48"/>
      <c r="O7" s="48">
        <f ca="1">SUM(G7:K7)</f>
        <v>31</v>
      </c>
      <c r="P7" s="36"/>
      <c r="Q7" s="48">
        <f ca="1">O7</f>
        <v>31</v>
      </c>
      <c r="R7" s="48">
        <v>1</v>
      </c>
      <c r="S7" s="48" t="s">
        <v>82</v>
      </c>
      <c r="T7" s="48" t="s">
        <v>109</v>
      </c>
      <c r="U7" s="30" t="s">
        <v>73</v>
      </c>
    </row>
    <row r="8" spans="1:21" ht="12.75" x14ac:dyDescent="0.2">
      <c r="A8" s="48">
        <v>2</v>
      </c>
      <c r="B8" s="36" t="str">
        <f ca="1">IFERROR(__xludf.DUMMYFUNCTION("IMPORTRANGE(""https://docs.google.com/spreadsheets/d/16CWr8ky6L0i1S4UOLMYHizeHS6aZnIDEnQPyRJyTpcI/edit#gid=0"", ""СОШ №19!B33:O37"")"),"Туралиева Айжана Кикбаевна")</f>
        <v>Туралиева Айжана Кикбаевна</v>
      </c>
      <c r="C8" s="36"/>
      <c r="D8" s="40" t="str">
        <f ca="1">IFERROR(__xludf.DUMMYFUNCTION("""COMPUTED_VALUE"""),"МОУ ""СОШ №19""")</f>
        <v>МОУ "СОШ №19"</v>
      </c>
      <c r="E8" s="48">
        <f ca="1">IFERROR(__xludf.DUMMYFUNCTION("""COMPUTED_VALUE"""),11)</f>
        <v>11</v>
      </c>
      <c r="F8" s="36" t="str">
        <f ca="1">IFERROR(__xludf.DUMMYFUNCTION("""COMPUTED_VALUE"""),"Карташова Анна Александровна")</f>
        <v>Карташова Анна Александровна</v>
      </c>
      <c r="G8" s="48">
        <f ca="1">IFERROR(__xludf.DUMMYFUNCTION("""COMPUTED_VALUE"""),9)</f>
        <v>9</v>
      </c>
      <c r="H8" s="48">
        <f ca="1">IFERROR(__xludf.DUMMYFUNCTION("""COMPUTED_VALUE"""),7)</f>
        <v>7</v>
      </c>
      <c r="I8" s="48">
        <f ca="1">IFERROR(__xludf.DUMMYFUNCTION("""COMPUTED_VALUE"""),8)</f>
        <v>8</v>
      </c>
      <c r="J8" s="48">
        <f ca="1">IFERROR(__xludf.DUMMYFUNCTION("""COMPUTED_VALUE"""),4)</f>
        <v>4</v>
      </c>
      <c r="K8" s="48">
        <f ca="1">IFERROR(__xludf.DUMMYFUNCTION("""COMPUTED_VALUE"""),2)</f>
        <v>2</v>
      </c>
      <c r="L8" s="48"/>
      <c r="M8" s="48"/>
      <c r="N8" s="48"/>
      <c r="O8" s="48">
        <f t="shared" ref="O8:O54" ca="1" si="0">SUM(G8:K8)</f>
        <v>30</v>
      </c>
      <c r="P8" s="36"/>
      <c r="Q8" s="48">
        <f t="shared" ref="Q8:Q54" ca="1" si="1">O8</f>
        <v>30</v>
      </c>
      <c r="R8" s="48">
        <v>2</v>
      </c>
      <c r="S8" s="48" t="s">
        <v>82</v>
      </c>
      <c r="T8" s="48" t="s">
        <v>109</v>
      </c>
      <c r="U8" s="30" t="s">
        <v>74</v>
      </c>
    </row>
    <row r="9" spans="1:21" ht="12.75" x14ac:dyDescent="0.2">
      <c r="A9" s="48">
        <v>3</v>
      </c>
      <c r="B9" s="36" t="str">
        <f ca="1">IFERROR(__xludf.DUMMYFUNCTION("""COMPUTED_VALUE"""),"Фадеева Елизавета Олеговна")</f>
        <v>Фадеева Елизавета Олеговна</v>
      </c>
      <c r="C9" s="36"/>
      <c r="D9" s="40" t="str">
        <f ca="1">IFERROR(__xludf.DUMMYFUNCTION("""COMPUTED_VALUE"""),"МОУ ""СОШ №33""")</f>
        <v>МОУ "СОШ №33"</v>
      </c>
      <c r="E9" s="48">
        <f ca="1">IFERROR(__xludf.DUMMYFUNCTION("""COMPUTED_VALUE"""),11)</f>
        <v>11</v>
      </c>
      <c r="F9" s="36" t="str">
        <f ca="1">IFERROR(__xludf.DUMMYFUNCTION("""COMPUTED_VALUE"""),"Чермашенцева Анжела Сергеевна")</f>
        <v>Чермашенцева Анжела Сергеевна</v>
      </c>
      <c r="G9" s="48">
        <f ca="1">IFERROR(__xludf.DUMMYFUNCTION("""COMPUTED_VALUE"""),8)</f>
        <v>8</v>
      </c>
      <c r="H9" s="48">
        <f ca="1">IFERROR(__xludf.DUMMYFUNCTION("""COMPUTED_VALUE"""),7)</f>
        <v>7</v>
      </c>
      <c r="I9" s="48">
        <f ca="1">IFERROR(__xludf.DUMMYFUNCTION("""COMPUTED_VALUE"""),8)</f>
        <v>8</v>
      </c>
      <c r="J9" s="48">
        <f ca="1">IFERROR(__xludf.DUMMYFUNCTION("""COMPUTED_VALUE"""),4)</f>
        <v>4</v>
      </c>
      <c r="K9" s="48">
        <f ca="1">IFERROR(__xludf.DUMMYFUNCTION("""COMPUTED_VALUE"""),3)</f>
        <v>3</v>
      </c>
      <c r="L9" s="48"/>
      <c r="M9" s="48"/>
      <c r="N9" s="48"/>
      <c r="O9" s="48">
        <f t="shared" ca="1" si="0"/>
        <v>30</v>
      </c>
      <c r="P9" s="36"/>
      <c r="Q9" s="48">
        <f t="shared" ca="1" si="1"/>
        <v>30</v>
      </c>
      <c r="R9" s="48">
        <v>3</v>
      </c>
      <c r="S9" s="48" t="s">
        <v>82</v>
      </c>
      <c r="T9" s="48" t="s">
        <v>109</v>
      </c>
      <c r="U9" s="30" t="s">
        <v>81</v>
      </c>
    </row>
    <row r="10" spans="1:21" ht="12.75" x14ac:dyDescent="0.2">
      <c r="A10" s="47">
        <v>4</v>
      </c>
      <c r="B10" s="37" t="str">
        <f ca="1">IFERROR(__xludf.DUMMYFUNCTION("""COMPUTED_VALUE"""),"Митрофанова Екатерина Олеговна")</f>
        <v>Митрофанова Екатерина Олеговна</v>
      </c>
      <c r="C10" s="37"/>
      <c r="D10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10" s="47">
        <f ca="1">IFERROR(__xludf.DUMMYFUNCTION("""COMPUTED_VALUE"""),11)</f>
        <v>11</v>
      </c>
      <c r="F10" s="37" t="str">
        <f ca="1">IFERROR(__xludf.DUMMYFUNCTION("""COMPUTED_VALUE"""),"Новинкина Светлана Габдулловна")</f>
        <v>Новинкина Светлана Габдулловна</v>
      </c>
      <c r="G10" s="47">
        <f ca="1">IFERROR(__xludf.DUMMYFUNCTION("""COMPUTED_VALUE"""),8)</f>
        <v>8</v>
      </c>
      <c r="H10" s="47">
        <f ca="1">IFERROR(__xludf.DUMMYFUNCTION("""COMPUTED_VALUE"""),7)</f>
        <v>7</v>
      </c>
      <c r="I10" s="47">
        <f ca="1">IFERROR(__xludf.DUMMYFUNCTION("""COMPUTED_VALUE"""),8)</f>
        <v>8</v>
      </c>
      <c r="J10" s="47">
        <f ca="1">IFERROR(__xludf.DUMMYFUNCTION("""COMPUTED_VALUE"""),4)</f>
        <v>4</v>
      </c>
      <c r="K10" s="47">
        <f ca="1">IFERROR(__xludf.DUMMYFUNCTION("""COMPUTED_VALUE"""),3)</f>
        <v>3</v>
      </c>
      <c r="L10" s="47"/>
      <c r="M10" s="47"/>
      <c r="N10" s="47"/>
      <c r="O10" s="48">
        <f t="shared" ca="1" si="0"/>
        <v>30</v>
      </c>
      <c r="P10" s="37"/>
      <c r="Q10" s="48">
        <f t="shared" ca="1" si="1"/>
        <v>30</v>
      </c>
      <c r="R10" s="48">
        <v>4</v>
      </c>
      <c r="S10" s="48" t="s">
        <v>82</v>
      </c>
      <c r="T10" s="48" t="s">
        <v>109</v>
      </c>
    </row>
    <row r="11" spans="1:21" ht="12.75" x14ac:dyDescent="0.2">
      <c r="A11" s="48">
        <v>5</v>
      </c>
      <c r="B11" s="39" t="str">
        <f ca="1">IFERROR(__xludf.DUMMYFUNCTION("IMPORTRANGE(""https://docs.google.com/spreadsheets/d/16CWr8ky6L0i1S4UOLMYHizeHS6aZnIDEnQPyRJyTpcI/edit#gid=0"", ""Нов. век!B63:O69"")"),"Тюленева Анастасия Сергеевна")</f>
        <v>Тюленева Анастасия Сергеевна</v>
      </c>
      <c r="C11" s="37"/>
      <c r="D11" s="41" t="str">
        <f ca="1">IFERROR(__xludf.DUMMYFUNCTION("""COMPUTED_VALUE"""),"МОУ ""СОШ им. Ю.А. Гагарина """)</f>
        <v>МОУ "СОШ им. Ю.А. Гагарина "</v>
      </c>
      <c r="E11" s="47">
        <f ca="1">IFERROR(__xludf.DUMMYFUNCTION("""COMPUTED_VALUE"""),11)</f>
        <v>11</v>
      </c>
      <c r="F11" s="37" t="str">
        <f ca="1">IFERROR(__xludf.DUMMYFUNCTION("""COMPUTED_VALUE"""),"Павлова Лариса Сергеевна")</f>
        <v>Павлова Лариса Сергеевна</v>
      </c>
      <c r="G11" s="47">
        <f ca="1">IFERROR(__xludf.DUMMYFUNCTION("""COMPUTED_VALUE"""),8)</f>
        <v>8</v>
      </c>
      <c r="H11" s="47">
        <f ca="1">IFERROR(__xludf.DUMMYFUNCTION("""COMPUTED_VALUE"""),7)</f>
        <v>7</v>
      </c>
      <c r="I11" s="47">
        <f ca="1">IFERROR(__xludf.DUMMYFUNCTION("""COMPUTED_VALUE"""),6)</f>
        <v>6</v>
      </c>
      <c r="J11" s="47">
        <f ca="1">IFERROR(__xludf.DUMMYFUNCTION("""COMPUTED_VALUE"""),4)</f>
        <v>4</v>
      </c>
      <c r="K11" s="47">
        <f ca="1">IFERROR(__xludf.DUMMYFUNCTION("""COMPUTED_VALUE"""),3)</f>
        <v>3</v>
      </c>
      <c r="L11" s="47"/>
      <c r="M11" s="47"/>
      <c r="N11" s="47"/>
      <c r="O11" s="48">
        <f t="shared" ca="1" si="0"/>
        <v>28</v>
      </c>
      <c r="P11" s="37"/>
      <c r="Q11" s="48">
        <f t="shared" ca="1" si="1"/>
        <v>28</v>
      </c>
      <c r="R11" s="48">
        <v>5</v>
      </c>
      <c r="S11" s="48" t="s">
        <v>82</v>
      </c>
      <c r="T11" s="48" t="s">
        <v>109</v>
      </c>
      <c r="U11" s="30" t="s">
        <v>84</v>
      </c>
    </row>
    <row r="12" spans="1:21" ht="12.75" x14ac:dyDescent="0.2">
      <c r="A12" s="48">
        <v>6</v>
      </c>
      <c r="B12" s="37" t="str">
        <f ca="1">IFERROR(__xludf.DUMMYFUNCTION("""COMPUTED_VALUE"""),"Аубекерова Камила Азаматовна")</f>
        <v>Аубекерова Камила Азаматовна</v>
      </c>
      <c r="C12" s="37"/>
      <c r="D12" s="41" t="str">
        <f ca="1">IFERROR(__xludf.DUMMYFUNCTION("""COMPUTED_VALUE"""),"МОУ ""СОШ им. Ю.А. Гагарина """)</f>
        <v>МОУ "СОШ им. Ю.А. Гагарина "</v>
      </c>
      <c r="E12" s="47">
        <f ca="1">IFERROR(__xludf.DUMMYFUNCTION("""COMPUTED_VALUE"""),11)</f>
        <v>11</v>
      </c>
      <c r="F12" s="37" t="str">
        <f ca="1">IFERROR(__xludf.DUMMYFUNCTION("""COMPUTED_VALUE"""),"Павлова Лариса Сергеевна")</f>
        <v>Павлова Лариса Сергеевна</v>
      </c>
      <c r="G12" s="47">
        <f ca="1">IFERROR(__xludf.DUMMYFUNCTION("""COMPUTED_VALUE"""),8)</f>
        <v>8</v>
      </c>
      <c r="H12" s="47">
        <f ca="1">IFERROR(__xludf.DUMMYFUNCTION("""COMPUTED_VALUE"""),7)</f>
        <v>7</v>
      </c>
      <c r="I12" s="47">
        <f ca="1">IFERROR(__xludf.DUMMYFUNCTION("""COMPUTED_VALUE"""),6)</f>
        <v>6</v>
      </c>
      <c r="J12" s="47">
        <f ca="1">IFERROR(__xludf.DUMMYFUNCTION("""COMPUTED_VALUE"""),4)</f>
        <v>4</v>
      </c>
      <c r="K12" s="47">
        <f ca="1">IFERROR(__xludf.DUMMYFUNCTION("""COMPUTED_VALUE"""),3)</f>
        <v>3</v>
      </c>
      <c r="L12" s="47"/>
      <c r="M12" s="47"/>
      <c r="N12" s="47"/>
      <c r="O12" s="48">
        <f t="shared" ca="1" si="0"/>
        <v>28</v>
      </c>
      <c r="P12" s="37"/>
      <c r="Q12" s="48">
        <f t="shared" ca="1" si="1"/>
        <v>28</v>
      </c>
      <c r="R12" s="48">
        <v>6</v>
      </c>
      <c r="S12" s="48" t="s">
        <v>82</v>
      </c>
      <c r="T12" s="48" t="s">
        <v>109</v>
      </c>
      <c r="U12" s="30" t="s">
        <v>85</v>
      </c>
    </row>
    <row r="13" spans="1:21" ht="12.75" x14ac:dyDescent="0.2">
      <c r="A13" s="48">
        <v>7</v>
      </c>
      <c r="B13" s="36" t="str">
        <f ca="1">IFERROR(__xludf.DUMMYFUNCTION("""COMPUTED_VALUE"""),"Полежаев Артур Романович")</f>
        <v>Полежаев Артур Романович</v>
      </c>
      <c r="C13" s="36"/>
      <c r="D13" s="40" t="str">
        <f ca="1">IFERROR(__xludf.DUMMYFUNCTION("""COMPUTED_VALUE"""),"МОУ ""СОШ им. Ю.А. Гагарина """)</f>
        <v>МОУ "СОШ им. Ю.А. Гагарина "</v>
      </c>
      <c r="E13" s="48">
        <f ca="1">IFERROR(__xludf.DUMMYFUNCTION("""COMPUTED_VALUE"""),11)</f>
        <v>11</v>
      </c>
      <c r="F13" s="36" t="str">
        <f ca="1">IFERROR(__xludf.DUMMYFUNCTION("""COMPUTED_VALUE"""),"Павлова Лариса Сергеевна")</f>
        <v>Павлова Лариса Сергеевна</v>
      </c>
      <c r="G13" s="48">
        <f ca="1">IFERROR(__xludf.DUMMYFUNCTION("""COMPUTED_VALUE"""),9)</f>
        <v>9</v>
      </c>
      <c r="H13" s="48">
        <f ca="1">IFERROR(__xludf.DUMMYFUNCTION("""COMPUTED_VALUE"""),4)</f>
        <v>4</v>
      </c>
      <c r="I13" s="48">
        <f ca="1">IFERROR(__xludf.DUMMYFUNCTION("""COMPUTED_VALUE"""),6)</f>
        <v>6</v>
      </c>
      <c r="J13" s="48">
        <f ca="1">IFERROR(__xludf.DUMMYFUNCTION("""COMPUTED_VALUE"""),4)</f>
        <v>4</v>
      </c>
      <c r="K13" s="48">
        <f ca="1">IFERROR(__xludf.DUMMYFUNCTION("""COMPUTED_VALUE"""),3)</f>
        <v>3</v>
      </c>
      <c r="L13" s="48"/>
      <c r="M13" s="48"/>
      <c r="N13" s="48"/>
      <c r="O13" s="48">
        <f t="shared" ca="1" si="0"/>
        <v>26</v>
      </c>
      <c r="P13" s="36"/>
      <c r="Q13" s="48">
        <f t="shared" ca="1" si="1"/>
        <v>26</v>
      </c>
      <c r="R13" s="48">
        <v>7</v>
      </c>
      <c r="S13" s="48" t="s">
        <v>82</v>
      </c>
      <c r="T13" s="48" t="s">
        <v>109</v>
      </c>
    </row>
    <row r="14" spans="1:21" ht="12.75" x14ac:dyDescent="0.2">
      <c r="A14" s="47">
        <v>8</v>
      </c>
      <c r="B14" s="36" t="str">
        <f ca="1">IFERROR(__xludf.DUMMYFUNCTION("IMPORTRANGE(""https://docs.google.com/spreadsheets/d/16CWr8ky6L0i1S4UOLMYHizeHS6aZnIDEnQPyRJyTpcI/edit#gid=0"", ""СОШ №33!B33:O37"")"),"Попова Снежана Витальевна")</f>
        <v>Попова Снежана Витальевна</v>
      </c>
      <c r="C14" s="36"/>
      <c r="D14" s="40" t="str">
        <f ca="1">IFERROR(__xludf.DUMMYFUNCTION("""COMPUTED_VALUE"""),"МОУ ""СОШ №33""")</f>
        <v>МОУ "СОШ №33"</v>
      </c>
      <c r="E14" s="48">
        <f ca="1">IFERROR(__xludf.DUMMYFUNCTION("""COMPUTED_VALUE"""),11)</f>
        <v>11</v>
      </c>
      <c r="F14" s="36" t="str">
        <f ca="1">IFERROR(__xludf.DUMMYFUNCTION("""COMPUTED_VALUE"""),"Чермашенцева Анжела Сергеевна")</f>
        <v>Чермашенцева Анжела Сергеевна</v>
      </c>
      <c r="G14" s="48">
        <f ca="1">IFERROR(__xludf.DUMMYFUNCTION("""COMPUTED_VALUE"""),9)</f>
        <v>9</v>
      </c>
      <c r="H14" s="48">
        <f ca="1">IFERROR(__xludf.DUMMYFUNCTION("""COMPUTED_VALUE"""),5)</f>
        <v>5</v>
      </c>
      <c r="I14" s="48">
        <f ca="1">IFERROR(__xludf.DUMMYFUNCTION("""COMPUTED_VALUE"""),5)</f>
        <v>5</v>
      </c>
      <c r="J14" s="48">
        <f ca="1">IFERROR(__xludf.DUMMYFUNCTION("""COMPUTED_VALUE"""),4)</f>
        <v>4</v>
      </c>
      <c r="K14" s="48">
        <f ca="1">IFERROR(__xludf.DUMMYFUNCTION("""COMPUTED_VALUE"""),3)</f>
        <v>3</v>
      </c>
      <c r="L14" s="48"/>
      <c r="M14" s="48"/>
      <c r="N14" s="48"/>
      <c r="O14" s="48">
        <f t="shared" ca="1" si="0"/>
        <v>26</v>
      </c>
      <c r="P14" s="36"/>
      <c r="Q14" s="48">
        <f t="shared" ca="1" si="1"/>
        <v>26</v>
      </c>
      <c r="R14" s="48">
        <v>8</v>
      </c>
      <c r="S14" s="48" t="s">
        <v>82</v>
      </c>
      <c r="T14" s="48" t="s">
        <v>109</v>
      </c>
      <c r="U14" s="30" t="s">
        <v>133</v>
      </c>
    </row>
    <row r="15" spans="1:21" ht="12.75" x14ac:dyDescent="0.2">
      <c r="A15" s="48">
        <v>9</v>
      </c>
      <c r="B15" s="37" t="str">
        <f ca="1">IFERROR(__xludf.DUMMYFUNCTION("""COMPUTED_VALUE"""),"Буковская Анастасия Александровна")</f>
        <v>Буковская Анастасия Александровна</v>
      </c>
      <c r="C15" s="37"/>
      <c r="D15" s="41" t="str">
        <f ca="1">IFERROR(__xludf.DUMMYFUNCTION("""COMPUTED_VALUE"""),"МОУ ""СОШ им. Ю.А. Гагарина """)</f>
        <v>МОУ "СОШ им. Ю.А. Гагарина "</v>
      </c>
      <c r="E15" s="47">
        <f ca="1">IFERROR(__xludf.DUMMYFUNCTION("""COMPUTED_VALUE"""),11)</f>
        <v>11</v>
      </c>
      <c r="F15" s="37" t="str">
        <f ca="1">IFERROR(__xludf.DUMMYFUNCTION("""COMPUTED_VALUE"""),"Павлова Лариса Сергеевна")</f>
        <v>Павлова Лариса Сергеевна</v>
      </c>
      <c r="G15" s="47">
        <f ca="1">IFERROR(__xludf.DUMMYFUNCTION("""COMPUTED_VALUE"""),9)</f>
        <v>9</v>
      </c>
      <c r="H15" s="47">
        <f ca="1">IFERROR(__xludf.DUMMYFUNCTION("""COMPUTED_VALUE"""),7)</f>
        <v>7</v>
      </c>
      <c r="I15" s="47">
        <f ca="1">IFERROR(__xludf.DUMMYFUNCTION("""COMPUTED_VALUE"""),3)</f>
        <v>3</v>
      </c>
      <c r="J15" s="47">
        <f ca="1">IFERROR(__xludf.DUMMYFUNCTION("""COMPUTED_VALUE"""),4)</f>
        <v>4</v>
      </c>
      <c r="K15" s="47">
        <f ca="1">IFERROR(__xludf.DUMMYFUNCTION("""COMPUTED_VALUE"""),3)</f>
        <v>3</v>
      </c>
      <c r="L15" s="47"/>
      <c r="M15" s="47"/>
      <c r="N15" s="47"/>
      <c r="O15" s="48">
        <f t="shared" ca="1" si="0"/>
        <v>26</v>
      </c>
      <c r="P15" s="37"/>
      <c r="Q15" s="48">
        <f t="shared" ca="1" si="1"/>
        <v>26</v>
      </c>
      <c r="R15" s="48">
        <v>9</v>
      </c>
      <c r="S15" s="48" t="s">
        <v>82</v>
      </c>
      <c r="T15" s="48" t="s">
        <v>109</v>
      </c>
      <c r="U15" s="30" t="s">
        <v>132</v>
      </c>
    </row>
    <row r="16" spans="1:21" ht="12.75" x14ac:dyDescent="0.2">
      <c r="A16" s="48">
        <v>10</v>
      </c>
      <c r="B16" s="37" t="str">
        <f ca="1">IFERROR(__xludf.DUMMYFUNCTION("""COMPUTED_VALUE"""),"Мель Дарья Александровна")</f>
        <v>Мель Дарья Александровна</v>
      </c>
      <c r="C16" s="37"/>
      <c r="D16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16" s="47">
        <f ca="1">IFERROR(__xludf.DUMMYFUNCTION("""COMPUTED_VALUE"""),11)</f>
        <v>11</v>
      </c>
      <c r="F16" s="37" t="str">
        <f ca="1">IFERROR(__xludf.DUMMYFUNCTION("""COMPUTED_VALUE"""),"Новинкина Светлана Габдулловна")</f>
        <v>Новинкина Светлана Габдулловна</v>
      </c>
      <c r="G16" s="47">
        <f ca="1">IFERROR(__xludf.DUMMYFUNCTION("""COMPUTED_VALUE"""),8)</f>
        <v>8</v>
      </c>
      <c r="H16" s="47">
        <f ca="1">IFERROR(__xludf.DUMMYFUNCTION("""COMPUTED_VALUE"""),5)</f>
        <v>5</v>
      </c>
      <c r="I16" s="47">
        <f ca="1">IFERROR(__xludf.DUMMYFUNCTION("""COMPUTED_VALUE"""),6)</f>
        <v>6</v>
      </c>
      <c r="J16" s="47">
        <f ca="1">IFERROR(__xludf.DUMMYFUNCTION("""COMPUTED_VALUE"""),4)</f>
        <v>4</v>
      </c>
      <c r="K16" s="47">
        <f ca="1">IFERROR(__xludf.DUMMYFUNCTION("""COMPUTED_VALUE"""),3)</f>
        <v>3</v>
      </c>
      <c r="L16" s="47"/>
      <c r="M16" s="47"/>
      <c r="N16" s="47"/>
      <c r="O16" s="48">
        <f t="shared" ca="1" si="0"/>
        <v>26</v>
      </c>
      <c r="P16" s="37"/>
      <c r="Q16" s="48">
        <f t="shared" ca="1" si="1"/>
        <v>26</v>
      </c>
      <c r="R16" s="48">
        <v>10</v>
      </c>
      <c r="S16" s="48" t="s">
        <v>82</v>
      </c>
      <c r="T16" s="48" t="s">
        <v>109</v>
      </c>
      <c r="U16" s="30" t="s">
        <v>127</v>
      </c>
    </row>
    <row r="17" spans="1:21" ht="12.75" x14ac:dyDescent="0.2">
      <c r="A17" s="48">
        <v>11</v>
      </c>
      <c r="B17" s="36" t="str">
        <f ca="1">IFERROR(__xludf.DUMMYFUNCTION("""COMPUTED_VALUE"""),"Николаев Иван Сергеевич")</f>
        <v>Николаев Иван Сергеевич</v>
      </c>
      <c r="C17" s="36"/>
      <c r="D17" s="40" t="str">
        <f ca="1">IFERROR(__xludf.DUMMYFUNCTION("""COMPUTED_VALUE"""),"МОУ ""СОШ им. Ю.А. Гагарина """)</f>
        <v>МОУ "СОШ им. Ю.А. Гагарина "</v>
      </c>
      <c r="E17" s="48">
        <f ca="1">IFERROR(__xludf.DUMMYFUNCTION("""COMPUTED_VALUE"""),11)</f>
        <v>11</v>
      </c>
      <c r="F17" s="36" t="str">
        <f ca="1">IFERROR(__xludf.DUMMYFUNCTION("""COMPUTED_VALUE"""),"Павлова Лариса Сергеевна")</f>
        <v>Павлова Лариса Сергеевна</v>
      </c>
      <c r="G17" s="48">
        <f ca="1">IFERROR(__xludf.DUMMYFUNCTION("""COMPUTED_VALUE"""),9)</f>
        <v>9</v>
      </c>
      <c r="H17" s="48">
        <f ca="1">IFERROR(__xludf.DUMMYFUNCTION("""COMPUTED_VALUE"""),6)</f>
        <v>6</v>
      </c>
      <c r="I17" s="48">
        <f ca="1">IFERROR(__xludf.DUMMYFUNCTION("""COMPUTED_VALUE"""),6)</f>
        <v>6</v>
      </c>
      <c r="J17" s="48">
        <f ca="1">IFERROR(__xludf.DUMMYFUNCTION("""COMPUTED_VALUE"""),4)</f>
        <v>4</v>
      </c>
      <c r="K17" s="48">
        <f ca="1">IFERROR(__xludf.DUMMYFUNCTION("""COMPUTED_VALUE"""),0)</f>
        <v>0</v>
      </c>
      <c r="L17" s="48"/>
      <c r="M17" s="48"/>
      <c r="N17" s="48"/>
      <c r="O17" s="48">
        <f t="shared" ca="1" si="0"/>
        <v>25</v>
      </c>
      <c r="P17" s="36"/>
      <c r="Q17" s="48">
        <f t="shared" ca="1" si="1"/>
        <v>25</v>
      </c>
      <c r="R17" s="48">
        <v>11</v>
      </c>
      <c r="S17" s="47" t="s">
        <v>83</v>
      </c>
      <c r="T17" s="48" t="s">
        <v>109</v>
      </c>
      <c r="U17" s="30" t="s">
        <v>130</v>
      </c>
    </row>
    <row r="18" spans="1:21" ht="12.75" x14ac:dyDescent="0.2">
      <c r="A18" s="47">
        <v>12</v>
      </c>
      <c r="B18" s="36" t="str">
        <f ca="1">IFERROR(__xludf.DUMMYFUNCTION("""COMPUTED_VALUE"""),"Габбасова Карина Дулатовна")</f>
        <v>Габбасова Карина Дулатовна</v>
      </c>
      <c r="C18" s="36"/>
      <c r="D18" s="4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18" s="48">
        <f ca="1">IFERROR(__xludf.DUMMYFUNCTION("""COMPUTED_VALUE"""),11)</f>
        <v>11</v>
      </c>
      <c r="F18" s="36" t="str">
        <f ca="1">IFERROR(__xludf.DUMMYFUNCTION("""COMPUTED_VALUE"""),"Новинкина Светлана Габдулловна")</f>
        <v>Новинкина Светлана Габдулловна</v>
      </c>
      <c r="G18" s="48">
        <f ca="1">IFERROR(__xludf.DUMMYFUNCTION("""COMPUTED_VALUE"""),6)</f>
        <v>6</v>
      </c>
      <c r="H18" s="48">
        <f ca="1">IFERROR(__xludf.DUMMYFUNCTION("""COMPUTED_VALUE"""),7)</f>
        <v>7</v>
      </c>
      <c r="I18" s="48">
        <f ca="1">IFERROR(__xludf.DUMMYFUNCTION("""COMPUTED_VALUE"""),8)</f>
        <v>8</v>
      </c>
      <c r="J18" s="48">
        <f ca="1">IFERROR(__xludf.DUMMYFUNCTION("""COMPUTED_VALUE"""),4)</f>
        <v>4</v>
      </c>
      <c r="K18" s="48">
        <f ca="1">IFERROR(__xludf.DUMMYFUNCTION("""COMPUTED_VALUE"""),0)</f>
        <v>0</v>
      </c>
      <c r="L18" s="48"/>
      <c r="M18" s="48"/>
      <c r="N18" s="48"/>
      <c r="O18" s="48">
        <f t="shared" ca="1" si="0"/>
        <v>25</v>
      </c>
      <c r="P18" s="36"/>
      <c r="Q18" s="48">
        <f t="shared" ca="1" si="1"/>
        <v>25</v>
      </c>
      <c r="R18" s="48">
        <v>12</v>
      </c>
      <c r="S18" s="47" t="s">
        <v>83</v>
      </c>
      <c r="T18" s="48" t="s">
        <v>109</v>
      </c>
    </row>
    <row r="19" spans="1:21" ht="12.75" x14ac:dyDescent="0.2">
      <c r="A19" s="48">
        <v>13</v>
      </c>
      <c r="B19" s="37" t="str">
        <f ca="1">IFERROR(__xludf.DUMMYFUNCTION("""COMPUTED_VALUE"""),"Хмеленко Ирина Дмитриевна")</f>
        <v>Хмеленко Ирина Дмитриевна</v>
      </c>
      <c r="C19" s="37"/>
      <c r="D19" s="41" t="str">
        <f ca="1">IFERROR(__xludf.DUMMYFUNCTION("""COMPUTED_VALUE"""),"МОУ ""СОШ им. Ю.А. Гагарина """)</f>
        <v>МОУ "СОШ им. Ю.А. Гагарина "</v>
      </c>
      <c r="E19" s="47">
        <f ca="1">IFERROR(__xludf.DUMMYFUNCTION("""COMPUTED_VALUE"""),11)</f>
        <v>11</v>
      </c>
      <c r="F19" s="37" t="str">
        <f ca="1">IFERROR(__xludf.DUMMYFUNCTION("""COMPUTED_VALUE"""),"Павлова Лариса Сергеевна")</f>
        <v>Павлова Лариса Сергеевна</v>
      </c>
      <c r="G19" s="47">
        <f ca="1">IFERROR(__xludf.DUMMYFUNCTION("""COMPUTED_VALUE"""),9)</f>
        <v>9</v>
      </c>
      <c r="H19" s="47">
        <f ca="1">IFERROR(__xludf.DUMMYFUNCTION("""COMPUTED_VALUE"""),7)</f>
        <v>7</v>
      </c>
      <c r="I19" s="47">
        <f ca="1">IFERROR(__xludf.DUMMYFUNCTION("""COMPUTED_VALUE"""),2)</f>
        <v>2</v>
      </c>
      <c r="J19" s="47">
        <f ca="1">IFERROR(__xludf.DUMMYFUNCTION("""COMPUTED_VALUE"""),4)</f>
        <v>4</v>
      </c>
      <c r="K19" s="47">
        <f ca="1">IFERROR(__xludf.DUMMYFUNCTION("""COMPUTED_VALUE"""),3)</f>
        <v>3</v>
      </c>
      <c r="L19" s="47"/>
      <c r="M19" s="47"/>
      <c r="N19" s="47"/>
      <c r="O19" s="48">
        <f t="shared" ca="1" si="0"/>
        <v>25</v>
      </c>
      <c r="P19" s="37"/>
      <c r="Q19" s="48">
        <f t="shared" ca="1" si="1"/>
        <v>25</v>
      </c>
      <c r="R19" s="48">
        <v>13</v>
      </c>
      <c r="S19" s="47" t="s">
        <v>83</v>
      </c>
      <c r="T19" s="48" t="s">
        <v>109</v>
      </c>
    </row>
    <row r="20" spans="1:21" ht="12.75" x14ac:dyDescent="0.2">
      <c r="A20" s="48">
        <v>14</v>
      </c>
      <c r="B20" s="36" t="str">
        <f ca="1">IFERROR(__xludf.DUMMYFUNCTION("""COMPUTED_VALUE"""),"Соколова Елизавета Вадимовна")</f>
        <v>Соколова Елизавета Вадимовна</v>
      </c>
      <c r="C20" s="36"/>
      <c r="D20" s="40" t="str">
        <f ca="1">IFERROR(__xludf.DUMMYFUNCTION("""COMPUTED_VALUE"""),"МОУ ""СОШ №19""")</f>
        <v>МОУ "СОШ №19"</v>
      </c>
      <c r="E20" s="48">
        <f ca="1">IFERROR(__xludf.DUMMYFUNCTION("""COMPUTED_VALUE"""),11)</f>
        <v>11</v>
      </c>
      <c r="F20" s="36" t="str">
        <f ca="1">IFERROR(__xludf.DUMMYFUNCTION("""COMPUTED_VALUE"""),"Карташова Анна Александровна")</f>
        <v>Карташова Анна Александровна</v>
      </c>
      <c r="G20" s="48">
        <f ca="1">IFERROR(__xludf.DUMMYFUNCTION("""COMPUTED_VALUE"""),7)</f>
        <v>7</v>
      </c>
      <c r="H20" s="48">
        <f ca="1">IFERROR(__xludf.DUMMYFUNCTION("""COMPUTED_VALUE"""),5)</f>
        <v>5</v>
      </c>
      <c r="I20" s="48">
        <f ca="1">IFERROR(__xludf.DUMMYFUNCTION("""COMPUTED_VALUE"""),7)</f>
        <v>7</v>
      </c>
      <c r="J20" s="48">
        <f ca="1">IFERROR(__xludf.DUMMYFUNCTION("""COMPUTED_VALUE"""),2)</f>
        <v>2</v>
      </c>
      <c r="K20" s="48">
        <f ca="1">IFERROR(__xludf.DUMMYFUNCTION("""COMPUTED_VALUE"""),3)</f>
        <v>3</v>
      </c>
      <c r="L20" s="48"/>
      <c r="M20" s="48"/>
      <c r="N20" s="48"/>
      <c r="O20" s="48">
        <f t="shared" ca="1" si="0"/>
        <v>24</v>
      </c>
      <c r="P20" s="36"/>
      <c r="Q20" s="48">
        <f t="shared" ca="1" si="1"/>
        <v>24</v>
      </c>
      <c r="R20" s="48">
        <v>14</v>
      </c>
      <c r="S20" s="47" t="s">
        <v>83</v>
      </c>
      <c r="T20" s="48" t="s">
        <v>109</v>
      </c>
    </row>
    <row r="21" spans="1:21" ht="12.75" x14ac:dyDescent="0.2">
      <c r="A21" s="48">
        <v>15</v>
      </c>
      <c r="B21" s="37" t="str">
        <f ca="1">IFERROR(__xludf.DUMMYFUNCTION("""COMPUTED_VALUE"""),"Мусагалиева Жанель Кайратовна")</f>
        <v>Мусагалиева Жанель Кайратовна</v>
      </c>
      <c r="C21" s="37"/>
      <c r="D21" s="41" t="str">
        <f ca="1">IFERROR(__xludf.DUMMYFUNCTION("""COMPUTED_VALUE"""),"МОУ ""СОШ п. Придорожный""")</f>
        <v>МОУ "СОШ п. Придорожный"</v>
      </c>
      <c r="E21" s="47">
        <f ca="1">IFERROR(__xludf.DUMMYFUNCTION("""COMPUTED_VALUE"""),11)</f>
        <v>11</v>
      </c>
      <c r="F21" s="37" t="str">
        <f ca="1">IFERROR(__xludf.DUMMYFUNCTION("""COMPUTED_VALUE"""),"Демешко Екатерина Валерьевна")</f>
        <v>Демешко Екатерина Валерьевна</v>
      </c>
      <c r="G21" s="47">
        <f ca="1">IFERROR(__xludf.DUMMYFUNCTION("""COMPUTED_VALUE"""),5)</f>
        <v>5</v>
      </c>
      <c r="H21" s="47">
        <f ca="1">IFERROR(__xludf.DUMMYFUNCTION("""COMPUTED_VALUE"""),7)</f>
        <v>7</v>
      </c>
      <c r="I21" s="47">
        <f ca="1">IFERROR(__xludf.DUMMYFUNCTION("""COMPUTED_VALUE"""),8)</f>
        <v>8</v>
      </c>
      <c r="J21" s="47">
        <f ca="1">IFERROR(__xludf.DUMMYFUNCTION("""COMPUTED_VALUE"""),4)</f>
        <v>4</v>
      </c>
      <c r="K21" s="47">
        <f ca="1">IFERROR(__xludf.DUMMYFUNCTION("""COMPUTED_VALUE"""),0)</f>
        <v>0</v>
      </c>
      <c r="L21" s="47"/>
      <c r="M21" s="47"/>
      <c r="N21" s="47"/>
      <c r="O21" s="48">
        <f t="shared" ca="1" si="0"/>
        <v>24</v>
      </c>
      <c r="P21" s="37"/>
      <c r="Q21" s="48">
        <f t="shared" ca="1" si="1"/>
        <v>24</v>
      </c>
      <c r="R21" s="48">
        <v>15</v>
      </c>
      <c r="S21" s="47" t="s">
        <v>83</v>
      </c>
      <c r="T21" s="48" t="s">
        <v>109</v>
      </c>
    </row>
    <row r="22" spans="1:21" ht="12.75" x14ac:dyDescent="0.2">
      <c r="A22" s="47">
        <v>16</v>
      </c>
      <c r="B22" s="37" t="str">
        <f ca="1">IFERROR(__xludf.DUMMYFUNCTION("""COMPUTED_VALUE"""),"Цой Яна Сергеевна")</f>
        <v>Цой Яна Сергеевна</v>
      </c>
      <c r="C22" s="37"/>
      <c r="D22" s="41" t="str">
        <f ca="1">IFERROR(__xludf.DUMMYFUNCTION("""COMPUTED_VALUE"""),"МОУ ""СОШ им. Ю.А. Гагарина """)</f>
        <v>МОУ "СОШ им. Ю.А. Гагарина "</v>
      </c>
      <c r="E22" s="47">
        <f ca="1">IFERROR(__xludf.DUMMYFUNCTION("""COMPUTED_VALUE"""),11)</f>
        <v>11</v>
      </c>
      <c r="F22" s="37" t="str">
        <f ca="1">IFERROR(__xludf.DUMMYFUNCTION("""COMPUTED_VALUE"""),"Павлова Лариса Сергеевна")</f>
        <v>Павлова Лариса Сергеевна</v>
      </c>
      <c r="G22" s="47">
        <f ca="1">IFERROR(__xludf.DUMMYFUNCTION("""COMPUTED_VALUE"""),10)</f>
        <v>10</v>
      </c>
      <c r="H22" s="47">
        <f ca="1">IFERROR(__xludf.DUMMYFUNCTION("""COMPUTED_VALUE"""),3)</f>
        <v>3</v>
      </c>
      <c r="I22" s="47">
        <f ca="1">IFERROR(__xludf.DUMMYFUNCTION("""COMPUTED_VALUE"""),4)</f>
        <v>4</v>
      </c>
      <c r="J22" s="47">
        <f ca="1">IFERROR(__xludf.DUMMYFUNCTION("""COMPUTED_VALUE"""),4)</f>
        <v>4</v>
      </c>
      <c r="K22" s="47">
        <f ca="1">IFERROR(__xludf.DUMMYFUNCTION("""COMPUTED_VALUE"""),3)</f>
        <v>3</v>
      </c>
      <c r="L22" s="47"/>
      <c r="M22" s="47"/>
      <c r="N22" s="47"/>
      <c r="O22" s="48">
        <f t="shared" ca="1" si="0"/>
        <v>24</v>
      </c>
      <c r="P22" s="37"/>
      <c r="Q22" s="48">
        <f t="shared" ca="1" si="1"/>
        <v>24</v>
      </c>
      <c r="R22" s="48">
        <v>16</v>
      </c>
      <c r="S22" s="47" t="s">
        <v>83</v>
      </c>
      <c r="T22" s="48" t="s">
        <v>109</v>
      </c>
    </row>
    <row r="23" spans="1:21" ht="12.75" x14ac:dyDescent="0.2">
      <c r="A23" s="48">
        <v>17</v>
      </c>
      <c r="B23" s="36" t="str">
        <f ca="1">IFERROR(__xludf.DUMMYFUNCTION("""COMPUTED_VALUE"""),"Нестерова Анастасия Юрьевна")</f>
        <v>Нестерова Анастасия Юрьевна</v>
      </c>
      <c r="C23" s="36"/>
      <c r="D23" s="40" t="str">
        <f ca="1">IFERROR(__xludf.DUMMYFUNCTION("""COMPUTED_VALUE"""),"МОУ ""СОШ им. Ю.А. Гагарина """)</f>
        <v>МОУ "СОШ им. Ю.А. Гагарина "</v>
      </c>
      <c r="E23" s="48">
        <f ca="1">IFERROR(__xludf.DUMMYFUNCTION("""COMPUTED_VALUE"""),11)</f>
        <v>11</v>
      </c>
      <c r="F23" s="36" t="str">
        <f ca="1">IFERROR(__xludf.DUMMYFUNCTION("""COMPUTED_VALUE"""),"Павлова Лариса Сергеевна")</f>
        <v>Павлова Лариса Сергеевна</v>
      </c>
      <c r="G23" s="48">
        <f ca="1">IFERROR(__xludf.DUMMYFUNCTION("""COMPUTED_VALUE"""),8)</f>
        <v>8</v>
      </c>
      <c r="H23" s="48">
        <f ca="1">IFERROR(__xludf.DUMMYFUNCTION("""COMPUTED_VALUE"""),5)</f>
        <v>5</v>
      </c>
      <c r="I23" s="48">
        <f ca="1">IFERROR(__xludf.DUMMYFUNCTION("""COMPUTED_VALUE"""),4)</f>
        <v>4</v>
      </c>
      <c r="J23" s="48">
        <f ca="1">IFERROR(__xludf.DUMMYFUNCTION("""COMPUTED_VALUE"""),4)</f>
        <v>4</v>
      </c>
      <c r="K23" s="48">
        <f ca="1">IFERROR(__xludf.DUMMYFUNCTION("""COMPUTED_VALUE"""),3)</f>
        <v>3</v>
      </c>
      <c r="L23" s="48"/>
      <c r="M23" s="48"/>
      <c r="N23" s="48"/>
      <c r="O23" s="48">
        <f t="shared" ca="1" si="0"/>
        <v>24</v>
      </c>
      <c r="P23" s="37"/>
      <c r="Q23" s="48">
        <f t="shared" ca="1" si="1"/>
        <v>24</v>
      </c>
      <c r="R23" s="48">
        <v>17</v>
      </c>
      <c r="S23" s="47" t="s">
        <v>83</v>
      </c>
      <c r="T23" s="48" t="s">
        <v>109</v>
      </c>
    </row>
    <row r="24" spans="1:21" ht="12.75" x14ac:dyDescent="0.2">
      <c r="A24" s="48">
        <v>18</v>
      </c>
      <c r="B24" s="36" t="str">
        <f ca="1">IFERROR(__xludf.DUMMYFUNCTION("""COMPUTED_VALUE"""),"Никитенко Анастасия Геннадьевна")</f>
        <v>Никитенко Анастасия Геннадьевна</v>
      </c>
      <c r="C24" s="36"/>
      <c r="D24" s="40" t="str">
        <f ca="1">IFERROR(__xludf.DUMMYFUNCTION("""COMPUTED_VALUE"""),"МОУ ""СОШ №19""")</f>
        <v>МОУ "СОШ №19"</v>
      </c>
      <c r="E24" s="48">
        <f ca="1">IFERROR(__xludf.DUMMYFUNCTION("""COMPUTED_VALUE"""),11)</f>
        <v>11</v>
      </c>
      <c r="F24" s="36" t="str">
        <f ca="1">IFERROR(__xludf.DUMMYFUNCTION("""COMPUTED_VALUE"""),"Карташова Анна Александровна")</f>
        <v>Карташова Анна Александровна</v>
      </c>
      <c r="G24" s="48">
        <f ca="1">IFERROR(__xludf.DUMMYFUNCTION("""COMPUTED_VALUE"""),7)</f>
        <v>7</v>
      </c>
      <c r="H24" s="48">
        <f ca="1">IFERROR(__xludf.DUMMYFUNCTION("""COMPUTED_VALUE"""),5)</f>
        <v>5</v>
      </c>
      <c r="I24" s="48">
        <f ca="1">IFERROR(__xludf.DUMMYFUNCTION("""COMPUTED_VALUE"""),7)</f>
        <v>7</v>
      </c>
      <c r="J24" s="48">
        <f ca="1">IFERROR(__xludf.DUMMYFUNCTION("""COMPUTED_VALUE"""),4)</f>
        <v>4</v>
      </c>
      <c r="K24" s="48">
        <f ca="1">IFERROR(__xludf.DUMMYFUNCTION("""COMPUTED_VALUE"""),0)</f>
        <v>0</v>
      </c>
      <c r="L24" s="48"/>
      <c r="M24" s="48"/>
      <c r="N24" s="48"/>
      <c r="O24" s="48">
        <f t="shared" ca="1" si="0"/>
        <v>23</v>
      </c>
      <c r="P24" s="36"/>
      <c r="Q24" s="48">
        <f t="shared" ca="1" si="1"/>
        <v>23</v>
      </c>
      <c r="R24" s="48">
        <v>18</v>
      </c>
      <c r="S24" s="47" t="s">
        <v>83</v>
      </c>
      <c r="T24" s="48" t="s">
        <v>109</v>
      </c>
    </row>
    <row r="25" spans="1:21" ht="12.75" x14ac:dyDescent="0.2">
      <c r="A25" s="48">
        <v>19</v>
      </c>
      <c r="B25" s="36" t="str">
        <f ca="1">IFERROR(__xludf.DUMMYFUNCTION("""COMPUTED_VALUE"""),"Лавриненко Захар Игоревич")</f>
        <v>Лавриненко Захар Игоревич</v>
      </c>
      <c r="C25" s="36"/>
      <c r="D25" s="40" t="str">
        <f ca="1">IFERROR(__xludf.DUMMYFUNCTION("""COMPUTED_VALUE"""),"МОУ ""СОШ №24""")</f>
        <v>МОУ "СОШ №24"</v>
      </c>
      <c r="E25" s="48">
        <f ca="1">IFERROR(__xludf.DUMMYFUNCTION("""COMPUTED_VALUE"""),11)</f>
        <v>11</v>
      </c>
      <c r="F25" s="36" t="str">
        <f ca="1">IFERROR(__xludf.DUMMYFUNCTION("""COMPUTED_VALUE"""),"Моисеева Татьяна Владимировна")</f>
        <v>Моисеева Татьяна Владимировна</v>
      </c>
      <c r="G25" s="48">
        <f ca="1">IFERROR(__xludf.DUMMYFUNCTION("""COMPUTED_VALUE"""),9)</f>
        <v>9</v>
      </c>
      <c r="H25" s="48">
        <f ca="1">IFERROR(__xludf.DUMMYFUNCTION("""COMPUTED_VALUE"""),2)</f>
        <v>2</v>
      </c>
      <c r="I25" s="48">
        <f ca="1">IFERROR(__xludf.DUMMYFUNCTION("""COMPUTED_VALUE"""),5)</f>
        <v>5</v>
      </c>
      <c r="J25" s="48">
        <f ca="1">IFERROR(__xludf.DUMMYFUNCTION("""COMPUTED_VALUE"""),4)</f>
        <v>4</v>
      </c>
      <c r="K25" s="48">
        <f ca="1">IFERROR(__xludf.DUMMYFUNCTION("""COMPUTED_VALUE"""),3)</f>
        <v>3</v>
      </c>
      <c r="L25" s="48"/>
      <c r="M25" s="48"/>
      <c r="N25" s="48"/>
      <c r="O25" s="48">
        <f t="shared" ca="1" si="0"/>
        <v>23</v>
      </c>
      <c r="P25" s="36"/>
      <c r="Q25" s="48">
        <f t="shared" ca="1" si="1"/>
        <v>23</v>
      </c>
      <c r="R25" s="48">
        <v>19</v>
      </c>
      <c r="S25" s="47" t="s">
        <v>83</v>
      </c>
      <c r="T25" s="48" t="s">
        <v>109</v>
      </c>
    </row>
    <row r="26" spans="1:21" ht="12.75" x14ac:dyDescent="0.2">
      <c r="A26" s="47">
        <v>20</v>
      </c>
      <c r="B26" s="39" t="str">
        <f ca="1">IFERROR(__xludf.DUMMYFUNCTION("IMPORTRANGE(""https://docs.google.com/spreadsheets/d/16CWr8ky6L0i1S4UOLMYHizeHS6aZnIDEnQPyRJyTpcI/edit#gid=0"", ""Нов. век!B33:O37"")"),"Шмельков Павел Сергеевич")</f>
        <v>Шмельков Павел Сергеевич</v>
      </c>
      <c r="C26" s="36"/>
      <c r="D26" s="40" t="str">
        <f ca="1">IFERROR(__xludf.DUMMYFUNCTION("""COMPUTED_VALUE"""),"МОУ ""СОШ им. Ю.А. Гагарина """)</f>
        <v>МОУ "СОШ им. Ю.А. Гагарина "</v>
      </c>
      <c r="E26" s="48">
        <f ca="1">IFERROR(__xludf.DUMMYFUNCTION("""COMPUTED_VALUE"""),11)</f>
        <v>11</v>
      </c>
      <c r="F26" s="36" t="str">
        <f ca="1">IFERROR(__xludf.DUMMYFUNCTION("""COMPUTED_VALUE"""),"Павлова Лариса Сергеевна")</f>
        <v>Павлова Лариса Сергеевна</v>
      </c>
      <c r="G26" s="48">
        <f ca="1">IFERROR(__xludf.DUMMYFUNCTION("""COMPUTED_VALUE"""),7)</f>
        <v>7</v>
      </c>
      <c r="H26" s="48">
        <f ca="1">IFERROR(__xludf.DUMMYFUNCTION("""COMPUTED_VALUE"""),5)</f>
        <v>5</v>
      </c>
      <c r="I26" s="48">
        <f ca="1">IFERROR(__xludf.DUMMYFUNCTION("""COMPUTED_VALUE"""),5)</f>
        <v>5</v>
      </c>
      <c r="J26" s="48">
        <f ca="1">IFERROR(__xludf.DUMMYFUNCTION("""COMPUTED_VALUE"""),4)</f>
        <v>4</v>
      </c>
      <c r="K26" s="48">
        <f ca="1">IFERROR(__xludf.DUMMYFUNCTION("""COMPUTED_VALUE"""),1)</f>
        <v>1</v>
      </c>
      <c r="L26" s="48"/>
      <c r="M26" s="48"/>
      <c r="N26" s="48"/>
      <c r="O26" s="48">
        <f t="shared" ca="1" si="0"/>
        <v>22</v>
      </c>
      <c r="P26" s="36"/>
      <c r="Q26" s="48">
        <f t="shared" ca="1" si="1"/>
        <v>22</v>
      </c>
      <c r="R26" s="48">
        <v>20</v>
      </c>
      <c r="S26" s="47" t="s">
        <v>83</v>
      </c>
      <c r="T26" s="48" t="s">
        <v>109</v>
      </c>
    </row>
    <row r="27" spans="1:21" ht="12.75" x14ac:dyDescent="0.2">
      <c r="A27" s="48">
        <v>21</v>
      </c>
      <c r="B27" s="36" t="str">
        <f ca="1">IFERROR(__xludf.DUMMYFUNCTION("IMPORTRANGE(""https://docs.google.com/spreadsheets/d/16CWr8ky6L0i1S4UOLMYHizeHS6aZnIDEnQPyRJyTpcI/edit#gid=0"", ""СОШ №31!B33:O37"")"),"Титкова Яна")</f>
        <v>Титкова Яна</v>
      </c>
      <c r="C27" s="36"/>
      <c r="D27" s="40" t="str">
        <f ca="1">IFERROR(__xludf.DUMMYFUNCTION("""COMPUTED_VALUE"""),"МОУ ""СОШ №31""")</f>
        <v>МОУ "СОШ №31"</v>
      </c>
      <c r="E27" s="48">
        <f ca="1">IFERROR(__xludf.DUMMYFUNCTION("""COMPUTED_VALUE"""),11)</f>
        <v>11</v>
      </c>
      <c r="F27" s="36" t="str">
        <f ca="1">IFERROR(__xludf.DUMMYFUNCTION("""COMPUTED_VALUE"""),"Котлярова Евгения Владимировна")</f>
        <v>Котлярова Евгения Владимировна</v>
      </c>
      <c r="G27" s="48">
        <f ca="1">IFERROR(__xludf.DUMMYFUNCTION("""COMPUTED_VALUE"""),6)</f>
        <v>6</v>
      </c>
      <c r="H27" s="48">
        <f ca="1">IFERROR(__xludf.DUMMYFUNCTION("""COMPUTED_VALUE"""),5)</f>
        <v>5</v>
      </c>
      <c r="I27" s="48">
        <f ca="1">IFERROR(__xludf.DUMMYFUNCTION("""COMPUTED_VALUE"""),7)</f>
        <v>7</v>
      </c>
      <c r="J27" s="48">
        <f ca="1">IFERROR(__xludf.DUMMYFUNCTION("""COMPUTED_VALUE"""),4)</f>
        <v>4</v>
      </c>
      <c r="K27" s="48">
        <f ca="1">IFERROR(__xludf.DUMMYFUNCTION("""COMPUTED_VALUE"""),0)</f>
        <v>0</v>
      </c>
      <c r="L27" s="48"/>
      <c r="M27" s="48"/>
      <c r="N27" s="48"/>
      <c r="O27" s="48">
        <f t="shared" ca="1" si="0"/>
        <v>22</v>
      </c>
      <c r="P27" s="36"/>
      <c r="Q27" s="48">
        <f t="shared" ca="1" si="1"/>
        <v>22</v>
      </c>
      <c r="R27" s="48">
        <v>21</v>
      </c>
      <c r="S27" s="47" t="s">
        <v>83</v>
      </c>
      <c r="T27" s="48" t="s">
        <v>109</v>
      </c>
    </row>
    <row r="28" spans="1:21" ht="12.75" x14ac:dyDescent="0.2">
      <c r="A28" s="48">
        <v>22</v>
      </c>
      <c r="B28" s="36" t="str">
        <f ca="1">IFERROR(__xludf.DUMMYFUNCTION("""COMPUTED_VALUE"""),"Володин Константин")</f>
        <v>Володин Константин</v>
      </c>
      <c r="C28" s="36"/>
      <c r="D28" s="40" t="str">
        <f ca="1">IFERROR(__xludf.DUMMYFUNCTION("""COMPUTED_VALUE"""),"МОУ ""СОШ №31""")</f>
        <v>МОУ "СОШ №31"</v>
      </c>
      <c r="E28" s="48">
        <f ca="1">IFERROR(__xludf.DUMMYFUNCTION("""COMPUTED_VALUE"""),11)</f>
        <v>11</v>
      </c>
      <c r="F28" s="36" t="str">
        <f ca="1">IFERROR(__xludf.DUMMYFUNCTION("""COMPUTED_VALUE"""),"Котлярова Евгения Владимировна")</f>
        <v>Котлярова Евгения Владимировна</v>
      </c>
      <c r="G28" s="48">
        <f ca="1">IFERROR(__xludf.DUMMYFUNCTION("""COMPUTED_VALUE"""),6)</f>
        <v>6</v>
      </c>
      <c r="H28" s="48">
        <f ca="1">IFERROR(__xludf.DUMMYFUNCTION("""COMPUTED_VALUE"""),6)</f>
        <v>6</v>
      </c>
      <c r="I28" s="48">
        <f ca="1">IFERROR(__xludf.DUMMYFUNCTION("""COMPUTED_VALUE"""),6)</f>
        <v>6</v>
      </c>
      <c r="J28" s="48">
        <f ca="1">IFERROR(__xludf.DUMMYFUNCTION("""COMPUTED_VALUE"""),4)</f>
        <v>4</v>
      </c>
      <c r="K28" s="48">
        <f ca="1">IFERROR(__xludf.DUMMYFUNCTION("""COMPUTED_VALUE"""),0)</f>
        <v>0</v>
      </c>
      <c r="L28" s="48"/>
      <c r="M28" s="48"/>
      <c r="N28" s="48"/>
      <c r="O28" s="48">
        <f t="shared" ca="1" si="0"/>
        <v>22</v>
      </c>
      <c r="P28" s="36"/>
      <c r="Q28" s="48">
        <f t="shared" ca="1" si="1"/>
        <v>22</v>
      </c>
      <c r="R28" s="48">
        <v>22</v>
      </c>
      <c r="S28" s="47" t="s">
        <v>83</v>
      </c>
      <c r="T28" s="48" t="s">
        <v>109</v>
      </c>
    </row>
    <row r="29" spans="1:21" ht="12.75" x14ac:dyDescent="0.2">
      <c r="A29" s="48">
        <v>23</v>
      </c>
      <c r="B29" s="36" t="str">
        <f ca="1">IFERROR(__xludf.DUMMYFUNCTION("""COMPUTED_VALUE"""),"Демидов Егор Даниилович")</f>
        <v>Демидов Егор Даниилович</v>
      </c>
      <c r="C29" s="36"/>
      <c r="D29" s="4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29" s="48">
        <f ca="1">IFERROR(__xludf.DUMMYFUNCTION("""COMPUTED_VALUE"""),11)</f>
        <v>11</v>
      </c>
      <c r="F29" s="36" t="str">
        <f ca="1">IFERROR(__xludf.DUMMYFUNCTION("""COMPUTED_VALUE"""),"Новинкина Светлана Габдулловна")</f>
        <v>Новинкина Светлана Габдулловна</v>
      </c>
      <c r="G29" s="48">
        <f ca="1">IFERROR(__xludf.DUMMYFUNCTION("""COMPUTED_VALUE"""),7)</f>
        <v>7</v>
      </c>
      <c r="H29" s="48">
        <f ca="1">IFERROR(__xludf.DUMMYFUNCTION("""COMPUTED_VALUE"""),5)</f>
        <v>5</v>
      </c>
      <c r="I29" s="48">
        <f ca="1">IFERROR(__xludf.DUMMYFUNCTION("""COMPUTED_VALUE"""),6)</f>
        <v>6</v>
      </c>
      <c r="J29" s="48">
        <f ca="1">IFERROR(__xludf.DUMMYFUNCTION("""COMPUTED_VALUE"""),4)</f>
        <v>4</v>
      </c>
      <c r="K29" s="48">
        <f ca="1">IFERROR(__xludf.DUMMYFUNCTION("""COMPUTED_VALUE"""),0)</f>
        <v>0</v>
      </c>
      <c r="L29" s="48"/>
      <c r="M29" s="48"/>
      <c r="N29" s="48"/>
      <c r="O29" s="48">
        <f t="shared" ca="1" si="0"/>
        <v>22</v>
      </c>
      <c r="P29" s="36"/>
      <c r="Q29" s="48">
        <f t="shared" ca="1" si="1"/>
        <v>22</v>
      </c>
      <c r="R29" s="48">
        <v>23</v>
      </c>
      <c r="S29" s="47" t="s">
        <v>83</v>
      </c>
      <c r="T29" s="48" t="s">
        <v>109</v>
      </c>
    </row>
    <row r="30" spans="1:21" ht="12.75" x14ac:dyDescent="0.2">
      <c r="A30" s="47">
        <v>24</v>
      </c>
      <c r="B30" s="36" t="str">
        <f ca="1">IFERROR(__xludf.DUMMYFUNCTION("""COMPUTED_VALUE"""),"Акимова Вероника Сергеевна")</f>
        <v>Акимова Вероника Сергеевна</v>
      </c>
      <c r="C30" s="36"/>
      <c r="D30" s="4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0" s="48">
        <f ca="1">IFERROR(__xludf.DUMMYFUNCTION("""COMPUTED_VALUE"""),11)</f>
        <v>11</v>
      </c>
      <c r="F30" s="36" t="str">
        <f ca="1">IFERROR(__xludf.DUMMYFUNCTION("""COMPUTED_VALUE"""),"Новинкина Светлана Габдулловна")</f>
        <v>Новинкина Светлана Габдулловна</v>
      </c>
      <c r="G30" s="48">
        <f ca="1">IFERROR(__xludf.DUMMYFUNCTION("""COMPUTED_VALUE"""),7)</f>
        <v>7</v>
      </c>
      <c r="H30" s="48">
        <f ca="1">IFERROR(__xludf.DUMMYFUNCTION("""COMPUTED_VALUE"""),5)</f>
        <v>5</v>
      </c>
      <c r="I30" s="48">
        <f ca="1">IFERROR(__xludf.DUMMYFUNCTION("""COMPUTED_VALUE"""),6)</f>
        <v>6</v>
      </c>
      <c r="J30" s="48">
        <f ca="1">IFERROR(__xludf.DUMMYFUNCTION("""COMPUTED_VALUE"""),4)</f>
        <v>4</v>
      </c>
      <c r="K30" s="48">
        <f ca="1">IFERROR(__xludf.DUMMYFUNCTION("""COMPUTED_VALUE"""),0)</f>
        <v>0</v>
      </c>
      <c r="L30" s="48"/>
      <c r="M30" s="48"/>
      <c r="N30" s="48"/>
      <c r="O30" s="48">
        <f t="shared" ca="1" si="0"/>
        <v>22</v>
      </c>
      <c r="P30" s="36"/>
      <c r="Q30" s="48">
        <f t="shared" ca="1" si="1"/>
        <v>22</v>
      </c>
      <c r="R30" s="48">
        <v>24</v>
      </c>
      <c r="S30" s="47" t="s">
        <v>83</v>
      </c>
      <c r="T30" s="48" t="s">
        <v>109</v>
      </c>
    </row>
    <row r="31" spans="1:21" ht="12.75" x14ac:dyDescent="0.2">
      <c r="A31" s="48">
        <v>25</v>
      </c>
      <c r="B31" s="36" t="str">
        <f ca="1">IFERROR(__xludf.DUMMYFUNCTION("""COMPUTED_VALUE"""),"Горкунов Кирилл Дмитриевич")</f>
        <v>Горкунов Кирилл Дмитриевич</v>
      </c>
      <c r="C31" s="36"/>
      <c r="D31" s="4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1" s="48">
        <f ca="1">IFERROR(__xludf.DUMMYFUNCTION("""COMPUTED_VALUE"""),11)</f>
        <v>11</v>
      </c>
      <c r="F31" s="36" t="str">
        <f ca="1">IFERROR(__xludf.DUMMYFUNCTION("""COMPUTED_VALUE"""),"Новинкина Светлана Габдулловна")</f>
        <v>Новинкина Светлана Габдулловна</v>
      </c>
      <c r="G31" s="48">
        <f ca="1">IFERROR(__xludf.DUMMYFUNCTION("""COMPUTED_VALUE"""),6)</f>
        <v>6</v>
      </c>
      <c r="H31" s="48">
        <f ca="1">IFERROR(__xludf.DUMMYFUNCTION("""COMPUTED_VALUE"""),5)</f>
        <v>5</v>
      </c>
      <c r="I31" s="48">
        <f ca="1">IFERROR(__xludf.DUMMYFUNCTION("""COMPUTED_VALUE"""),4)</f>
        <v>4</v>
      </c>
      <c r="J31" s="48">
        <f ca="1">IFERROR(__xludf.DUMMYFUNCTION("""COMPUTED_VALUE"""),4)</f>
        <v>4</v>
      </c>
      <c r="K31" s="48">
        <f ca="1">IFERROR(__xludf.DUMMYFUNCTION("""COMPUTED_VALUE"""),3)</f>
        <v>3</v>
      </c>
      <c r="L31" s="48"/>
      <c r="M31" s="48"/>
      <c r="N31" s="48"/>
      <c r="O31" s="48">
        <f t="shared" ca="1" si="0"/>
        <v>22</v>
      </c>
      <c r="P31" s="36"/>
      <c r="Q31" s="48">
        <f t="shared" ca="1" si="1"/>
        <v>22</v>
      </c>
      <c r="R31" s="48">
        <v>25</v>
      </c>
      <c r="S31" s="47" t="s">
        <v>83</v>
      </c>
      <c r="T31" s="48" t="s">
        <v>109</v>
      </c>
    </row>
    <row r="32" spans="1:21" ht="12.75" x14ac:dyDescent="0.2">
      <c r="A32" s="48">
        <v>26</v>
      </c>
      <c r="B32" s="37" t="str">
        <f ca="1">IFERROR(__xludf.DUMMYFUNCTION("""COMPUTED_VALUE"""),"Перепечай Валерия Андреевна")</f>
        <v>Перепечай Валерия Андреевна</v>
      </c>
      <c r="C32" s="37"/>
      <c r="D32" s="41" t="str">
        <f ca="1">IFERROR(__xludf.DUMMYFUNCTION("""COMPUTED_VALUE"""),"МОУ ""СОШ им. Ю.А. Гагарина """)</f>
        <v>МОУ "СОШ им. Ю.А. Гагарина "</v>
      </c>
      <c r="E32" s="47">
        <f ca="1">IFERROR(__xludf.DUMMYFUNCTION("""COMPUTED_VALUE"""),11)</f>
        <v>11</v>
      </c>
      <c r="F32" s="37" t="str">
        <f ca="1">IFERROR(__xludf.DUMMYFUNCTION("""COMPUTED_VALUE"""),"Павлова Лариса Сергеевна")</f>
        <v>Павлова Лариса Сергеевна</v>
      </c>
      <c r="G32" s="47">
        <f ca="1">IFERROR(__xludf.DUMMYFUNCTION("""COMPUTED_VALUE"""),9)</f>
        <v>9</v>
      </c>
      <c r="H32" s="47">
        <f ca="1">IFERROR(__xludf.DUMMYFUNCTION("""COMPUTED_VALUE"""),3)</f>
        <v>3</v>
      </c>
      <c r="I32" s="47">
        <f ca="1">IFERROR(__xludf.DUMMYFUNCTION("""COMPUTED_VALUE"""),3)</f>
        <v>3</v>
      </c>
      <c r="J32" s="47">
        <f ca="1">IFERROR(__xludf.DUMMYFUNCTION("""COMPUTED_VALUE"""),4)</f>
        <v>4</v>
      </c>
      <c r="K32" s="47">
        <f ca="1">IFERROR(__xludf.DUMMYFUNCTION("""COMPUTED_VALUE"""),3)</f>
        <v>3</v>
      </c>
      <c r="L32" s="47"/>
      <c r="M32" s="47"/>
      <c r="N32" s="47"/>
      <c r="O32" s="48">
        <f t="shared" ca="1" si="0"/>
        <v>22</v>
      </c>
      <c r="P32" s="37"/>
      <c r="Q32" s="48">
        <f t="shared" ca="1" si="1"/>
        <v>22</v>
      </c>
      <c r="R32" s="48">
        <v>26</v>
      </c>
      <c r="S32" s="47" t="s">
        <v>83</v>
      </c>
      <c r="T32" s="48" t="s">
        <v>109</v>
      </c>
    </row>
    <row r="33" spans="1:20" ht="12.75" x14ac:dyDescent="0.2">
      <c r="A33" s="48">
        <v>27</v>
      </c>
      <c r="B33" s="37" t="str">
        <f ca="1">IFERROR(__xludf.DUMMYFUNCTION("""COMPUTED_VALUE"""),"Дзюбан Кирилл Викторович")</f>
        <v>Дзюбан Кирилл Викторович</v>
      </c>
      <c r="C33" s="37"/>
      <c r="D33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3" s="47">
        <f ca="1">IFERROR(__xludf.DUMMYFUNCTION("""COMPUTED_VALUE"""),11)</f>
        <v>11</v>
      </c>
      <c r="F33" s="37" t="str">
        <f ca="1">IFERROR(__xludf.DUMMYFUNCTION("""COMPUTED_VALUE"""),"Новинкина Светлана Габдулловна")</f>
        <v>Новинкина Светлана Габдулловна</v>
      </c>
      <c r="G33" s="47">
        <f ca="1">IFERROR(__xludf.DUMMYFUNCTION("""COMPUTED_VALUE"""),6)</f>
        <v>6</v>
      </c>
      <c r="H33" s="47">
        <f ca="1">IFERROR(__xludf.DUMMYFUNCTION("""COMPUTED_VALUE"""),6)</f>
        <v>6</v>
      </c>
      <c r="I33" s="47">
        <f ca="1">IFERROR(__xludf.DUMMYFUNCTION("""COMPUTED_VALUE"""),5)</f>
        <v>5</v>
      </c>
      <c r="J33" s="47">
        <f ca="1">IFERROR(__xludf.DUMMYFUNCTION("""COMPUTED_VALUE"""),4)</f>
        <v>4</v>
      </c>
      <c r="K33" s="47">
        <f ca="1">IFERROR(__xludf.DUMMYFUNCTION("""COMPUTED_VALUE"""),1)</f>
        <v>1</v>
      </c>
      <c r="L33" s="47"/>
      <c r="M33" s="47"/>
      <c r="N33" s="47"/>
      <c r="O33" s="48">
        <f t="shared" ca="1" si="0"/>
        <v>22</v>
      </c>
      <c r="P33" s="37"/>
      <c r="Q33" s="48">
        <f t="shared" ca="1" si="1"/>
        <v>22</v>
      </c>
      <c r="R33" s="48">
        <v>27</v>
      </c>
      <c r="S33" s="47" t="s">
        <v>83</v>
      </c>
      <c r="T33" s="48" t="s">
        <v>109</v>
      </c>
    </row>
    <row r="34" spans="1:20" ht="12.75" x14ac:dyDescent="0.2">
      <c r="A34" s="47">
        <v>28</v>
      </c>
      <c r="B34" s="36" t="str">
        <f ca="1">IFERROR(__xludf.DUMMYFUNCTION("IMPORTRANGE(""https://docs.google.com/spreadsheets/d/16CWr8ky6L0i1S4UOLMYHizeHS6aZnIDEnQPyRJyTpcI/edit#gid=0"", ""СОШ №4!B33:O37"")"),"Елисеева Виктория Андреевна")</f>
        <v>Елисеева Виктория Андреевна</v>
      </c>
      <c r="C34" s="36"/>
      <c r="D34" s="40" t="str">
        <f ca="1">IFERROR(__xludf.DUMMYFUNCTION("""COMPUTED_VALUE"""),"МОУ ""СОШ №4""")</f>
        <v>МОУ "СОШ №4"</v>
      </c>
      <c r="E34" s="48">
        <f ca="1">IFERROR(__xludf.DUMMYFUNCTION("""COMPUTED_VALUE"""),11)</f>
        <v>11</v>
      </c>
      <c r="F34" s="36" t="str">
        <f ca="1">IFERROR(__xludf.DUMMYFUNCTION("""COMPUTED_VALUE"""),"Шевченко Татьяна Петровна")</f>
        <v>Шевченко Татьяна Петровна</v>
      </c>
      <c r="G34" s="48">
        <f ca="1">IFERROR(__xludf.DUMMYFUNCTION("""COMPUTED_VALUE"""),6)</f>
        <v>6</v>
      </c>
      <c r="H34" s="48">
        <f ca="1">IFERROR(__xludf.DUMMYFUNCTION("""COMPUTED_VALUE"""),5)</f>
        <v>5</v>
      </c>
      <c r="I34" s="48">
        <f ca="1">IFERROR(__xludf.DUMMYFUNCTION("""COMPUTED_VALUE"""),6)</f>
        <v>6</v>
      </c>
      <c r="J34" s="48">
        <f ca="1">IFERROR(__xludf.DUMMYFUNCTION("""COMPUTED_VALUE"""),4)</f>
        <v>4</v>
      </c>
      <c r="K34" s="48">
        <f ca="1">IFERROR(__xludf.DUMMYFUNCTION("""COMPUTED_VALUE"""),0)</f>
        <v>0</v>
      </c>
      <c r="L34" s="48"/>
      <c r="M34" s="48"/>
      <c r="N34" s="48"/>
      <c r="O34" s="48">
        <f t="shared" ca="1" si="0"/>
        <v>21</v>
      </c>
      <c r="P34" s="36"/>
      <c r="Q34" s="48">
        <f t="shared" ca="1" si="1"/>
        <v>21</v>
      </c>
      <c r="R34" s="48">
        <v>28</v>
      </c>
      <c r="S34" s="47" t="s">
        <v>83</v>
      </c>
      <c r="T34" s="47"/>
    </row>
    <row r="35" spans="1:20" ht="12.75" x14ac:dyDescent="0.2">
      <c r="A35" s="48">
        <v>29</v>
      </c>
      <c r="B35" s="36" t="str">
        <f ca="1">IFERROR(__xludf.DUMMYFUNCTION("""COMPUTED_VALUE"""),"Романова Ксения Денисовна")</f>
        <v>Романова Ксения Денисовна</v>
      </c>
      <c r="C35" s="36"/>
      <c r="D35" s="40" t="str">
        <f ca="1">IFERROR(__xludf.DUMMYFUNCTION("""COMPUTED_VALUE"""),"МОУ ""СОШ №4""")</f>
        <v>МОУ "СОШ №4"</v>
      </c>
      <c r="E35" s="48">
        <f ca="1">IFERROR(__xludf.DUMMYFUNCTION("""COMPUTED_VALUE"""),11)</f>
        <v>11</v>
      </c>
      <c r="F35" s="36" t="str">
        <f ca="1">IFERROR(__xludf.DUMMYFUNCTION("""COMPUTED_VALUE"""),"Шевченко Татьяна Петровна")</f>
        <v>Шевченко Татьяна Петровна</v>
      </c>
      <c r="G35" s="48">
        <f ca="1">IFERROR(__xludf.DUMMYFUNCTION("""COMPUTED_VALUE"""),6)</f>
        <v>6</v>
      </c>
      <c r="H35" s="48">
        <f ca="1">IFERROR(__xludf.DUMMYFUNCTION("""COMPUTED_VALUE"""),6)</f>
        <v>6</v>
      </c>
      <c r="I35" s="48">
        <f ca="1">IFERROR(__xludf.DUMMYFUNCTION("""COMPUTED_VALUE"""),5)</f>
        <v>5</v>
      </c>
      <c r="J35" s="48">
        <f ca="1">IFERROR(__xludf.DUMMYFUNCTION("""COMPUTED_VALUE"""),4)</f>
        <v>4</v>
      </c>
      <c r="K35" s="48">
        <f ca="1">IFERROR(__xludf.DUMMYFUNCTION("""COMPUTED_VALUE"""),0)</f>
        <v>0</v>
      </c>
      <c r="L35" s="48"/>
      <c r="M35" s="48"/>
      <c r="N35" s="48"/>
      <c r="O35" s="48">
        <f t="shared" ca="1" si="0"/>
        <v>21</v>
      </c>
      <c r="P35" s="36"/>
      <c r="Q35" s="48">
        <f t="shared" ca="1" si="1"/>
        <v>21</v>
      </c>
      <c r="R35" s="48">
        <v>29</v>
      </c>
      <c r="S35" s="47" t="s">
        <v>83</v>
      </c>
      <c r="T35" s="47"/>
    </row>
    <row r="36" spans="1:20" ht="12.75" x14ac:dyDescent="0.2">
      <c r="A36" s="48">
        <v>30</v>
      </c>
      <c r="B36" s="36" t="str">
        <f ca="1">IFERROR(__xludf.DUMMYFUNCTION("""COMPUTED_VALUE"""),"Нефедова Татьяна Юрьевна")</f>
        <v>Нефедова Татьяна Юрьевна</v>
      </c>
      <c r="C36" s="36"/>
      <c r="D36" s="40" t="str">
        <f ca="1">IFERROR(__xludf.DUMMYFUNCTION("""COMPUTED_VALUE"""),"МОУ ""СОШ №33""")</f>
        <v>МОУ "СОШ №33"</v>
      </c>
      <c r="E36" s="48">
        <f ca="1">IFERROR(__xludf.DUMMYFUNCTION("""COMPUTED_VALUE"""),11)</f>
        <v>11</v>
      </c>
      <c r="F36" s="36" t="str">
        <f ca="1">IFERROR(__xludf.DUMMYFUNCTION("""COMPUTED_VALUE"""),"Чермашенцева Анжела Сергеевна")</f>
        <v>Чермашенцева Анжела Сергеевна</v>
      </c>
      <c r="G36" s="48">
        <f ca="1">IFERROR(__xludf.DUMMYFUNCTION("""COMPUTED_VALUE"""),8)</f>
        <v>8</v>
      </c>
      <c r="H36" s="48">
        <f ca="1">IFERROR(__xludf.DUMMYFUNCTION("""COMPUTED_VALUE"""),4)</f>
        <v>4</v>
      </c>
      <c r="I36" s="48">
        <f ca="1">IFERROR(__xludf.DUMMYFUNCTION("""COMPUTED_VALUE"""),4)</f>
        <v>4</v>
      </c>
      <c r="J36" s="48">
        <f ca="1">IFERROR(__xludf.DUMMYFUNCTION("""COMPUTED_VALUE"""),4)</f>
        <v>4</v>
      </c>
      <c r="K36" s="48">
        <f ca="1">IFERROR(__xludf.DUMMYFUNCTION("""COMPUTED_VALUE"""),1)</f>
        <v>1</v>
      </c>
      <c r="L36" s="48"/>
      <c r="M36" s="48"/>
      <c r="N36" s="48"/>
      <c r="O36" s="48">
        <f t="shared" ca="1" si="0"/>
        <v>21</v>
      </c>
      <c r="P36" s="36"/>
      <c r="Q36" s="48">
        <f t="shared" ca="1" si="1"/>
        <v>21</v>
      </c>
      <c r="R36" s="48">
        <v>30</v>
      </c>
      <c r="S36" s="47" t="s">
        <v>83</v>
      </c>
      <c r="T36" s="47"/>
    </row>
    <row r="37" spans="1:20" ht="12.75" x14ac:dyDescent="0.2">
      <c r="A37" s="48">
        <v>31</v>
      </c>
      <c r="B37" s="39" t="str">
        <f ca="1">IFERROR(__xludf.DUMMYFUNCTION("IMPORTRANGE(""https://docs.google.com/spreadsheets/d/16CWr8ky6L0i1S4UOLMYHizeHS6aZnIDEnQPyRJyTpcI/edit#gid=0"", ""Патриот!B33:O37"")"),"Иксибаев Назар Абаевич")</f>
        <v>Иксибаев Назар Абаевич</v>
      </c>
      <c r="C37" s="36"/>
      <c r="D37" s="40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7" s="48">
        <f ca="1">IFERROR(__xludf.DUMMYFUNCTION("""COMPUTED_VALUE"""),11)</f>
        <v>11</v>
      </c>
      <c r="F37" s="36" t="str">
        <f ca="1">IFERROR(__xludf.DUMMYFUNCTION("""COMPUTED_VALUE"""),"Новинкина Светлана Габдулловна")</f>
        <v>Новинкина Светлана Габдулловна</v>
      </c>
      <c r="G37" s="48">
        <f ca="1">IFERROR(__xludf.DUMMYFUNCTION("""COMPUTED_VALUE"""),5)</f>
        <v>5</v>
      </c>
      <c r="H37" s="48">
        <f ca="1">IFERROR(__xludf.DUMMYFUNCTION("""COMPUTED_VALUE"""),5)</f>
        <v>5</v>
      </c>
      <c r="I37" s="48">
        <f ca="1">IFERROR(__xludf.DUMMYFUNCTION("""COMPUTED_VALUE"""),7)</f>
        <v>7</v>
      </c>
      <c r="J37" s="48">
        <f ca="1">IFERROR(__xludf.DUMMYFUNCTION("""COMPUTED_VALUE"""),4)</f>
        <v>4</v>
      </c>
      <c r="K37" s="48">
        <f ca="1">IFERROR(__xludf.DUMMYFUNCTION("""COMPUTED_VALUE"""),0)</f>
        <v>0</v>
      </c>
      <c r="L37" s="48"/>
      <c r="M37" s="48"/>
      <c r="N37" s="48"/>
      <c r="O37" s="48">
        <f t="shared" ca="1" si="0"/>
        <v>21</v>
      </c>
      <c r="P37" s="36"/>
      <c r="Q37" s="48">
        <f t="shared" ca="1" si="1"/>
        <v>21</v>
      </c>
      <c r="R37" s="48">
        <v>31</v>
      </c>
      <c r="S37" s="47" t="s">
        <v>83</v>
      </c>
      <c r="T37" s="47"/>
    </row>
    <row r="38" spans="1:20" ht="12.75" x14ac:dyDescent="0.2">
      <c r="A38" s="47">
        <v>32</v>
      </c>
      <c r="B38" s="39" t="str">
        <f ca="1">IFERROR(__xludf.DUMMYFUNCTION("IMPORTRANGE(""https://docs.google.com/spreadsheets/d/16CWr8ky6L0i1S4UOLMYHizeHS6aZnIDEnQPyRJyTpcI/edit#gid=0"", ""СОШ п. Придорожный!B33:O37"")"),"Першина Ксения Павловна")</f>
        <v>Першина Ксения Павловна</v>
      </c>
      <c r="C38" s="37"/>
      <c r="D38" s="41" t="str">
        <f ca="1">IFERROR(__xludf.DUMMYFUNCTION("""COMPUTED_VALUE"""),"МОУ ""СОШ п. Придорожный""")</f>
        <v>МОУ "СОШ п. Придорожный"</v>
      </c>
      <c r="E38" s="47">
        <f ca="1">IFERROR(__xludf.DUMMYFUNCTION("""COMPUTED_VALUE"""),11)</f>
        <v>11</v>
      </c>
      <c r="F38" s="37" t="str">
        <f ca="1">IFERROR(__xludf.DUMMYFUNCTION("""COMPUTED_VALUE"""),"Демешко Екатерина Валерьевна")</f>
        <v>Демешко Екатерина Валерьевна</v>
      </c>
      <c r="G38" s="47">
        <f ca="1">IFERROR(__xludf.DUMMYFUNCTION("""COMPUTED_VALUE"""),5)</f>
        <v>5</v>
      </c>
      <c r="H38" s="47">
        <f ca="1">IFERROR(__xludf.DUMMYFUNCTION("""COMPUTED_VALUE"""),7)</f>
        <v>7</v>
      </c>
      <c r="I38" s="47">
        <f ca="1">IFERROR(__xludf.DUMMYFUNCTION("""COMPUTED_VALUE"""),5)</f>
        <v>5</v>
      </c>
      <c r="J38" s="47">
        <f ca="1">IFERROR(__xludf.DUMMYFUNCTION("""COMPUTED_VALUE"""),4)</f>
        <v>4</v>
      </c>
      <c r="K38" s="47">
        <f ca="1">IFERROR(__xludf.DUMMYFUNCTION("""COMPUTED_VALUE"""),0)</f>
        <v>0</v>
      </c>
      <c r="L38" s="47"/>
      <c r="M38" s="47"/>
      <c r="N38" s="47"/>
      <c r="O38" s="48">
        <f t="shared" ca="1" si="0"/>
        <v>21</v>
      </c>
      <c r="P38" s="37"/>
      <c r="Q38" s="48">
        <f t="shared" ca="1" si="1"/>
        <v>21</v>
      </c>
      <c r="R38" s="48">
        <v>32</v>
      </c>
      <c r="S38" s="47" t="s">
        <v>83</v>
      </c>
      <c r="T38" s="47"/>
    </row>
    <row r="39" spans="1:20" ht="12.75" x14ac:dyDescent="0.2">
      <c r="A39" s="48">
        <v>33</v>
      </c>
      <c r="B39" s="37" t="str">
        <f ca="1">IFERROR(__xludf.DUMMYFUNCTION("""COMPUTED_VALUE"""),"Кузнецов Артемий Петрович")</f>
        <v>Кузнецов Артемий Петрович</v>
      </c>
      <c r="C39" s="37"/>
      <c r="D39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9" s="47">
        <f ca="1">IFERROR(__xludf.DUMMYFUNCTION("""COMPUTED_VALUE"""),11)</f>
        <v>11</v>
      </c>
      <c r="F39" s="37" t="str">
        <f ca="1">IFERROR(__xludf.DUMMYFUNCTION("""COMPUTED_VALUE"""),"Новинкина Светлана Габдулловна")</f>
        <v>Новинкина Светлана Габдулловна</v>
      </c>
      <c r="G39" s="47">
        <f ca="1">IFERROR(__xludf.DUMMYFUNCTION("""COMPUTED_VALUE"""),7)</f>
        <v>7</v>
      </c>
      <c r="H39" s="47">
        <f ca="1">IFERROR(__xludf.DUMMYFUNCTION("""COMPUTED_VALUE"""),6)</f>
        <v>6</v>
      </c>
      <c r="I39" s="47">
        <f ca="1">IFERROR(__xludf.DUMMYFUNCTION("""COMPUTED_VALUE"""),4)</f>
        <v>4</v>
      </c>
      <c r="J39" s="47">
        <f ca="1">IFERROR(__xludf.DUMMYFUNCTION("""COMPUTED_VALUE"""),4)</f>
        <v>4</v>
      </c>
      <c r="K39" s="47">
        <f ca="1">IFERROR(__xludf.DUMMYFUNCTION("""COMPUTED_VALUE"""),0)</f>
        <v>0</v>
      </c>
      <c r="L39" s="47"/>
      <c r="M39" s="47"/>
      <c r="N39" s="47"/>
      <c r="O39" s="48">
        <f t="shared" ca="1" si="0"/>
        <v>21</v>
      </c>
      <c r="P39" s="37"/>
      <c r="Q39" s="48">
        <f t="shared" ca="1" si="1"/>
        <v>21</v>
      </c>
      <c r="R39" s="48">
        <v>33</v>
      </c>
      <c r="S39" s="47" t="s">
        <v>83</v>
      </c>
      <c r="T39" s="47"/>
    </row>
    <row r="40" spans="1:20" ht="12.75" x14ac:dyDescent="0.2">
      <c r="A40" s="48">
        <v>34</v>
      </c>
      <c r="B40" s="37" t="str">
        <f ca="1">IFERROR(__xludf.DUMMYFUNCTION("""COMPUTED_VALUE"""),"Рамазанов Ильдар Расимович")</f>
        <v>Рамазанов Ильдар Расимович</v>
      </c>
      <c r="C40" s="37"/>
      <c r="D40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40" s="47">
        <f ca="1">IFERROR(__xludf.DUMMYFUNCTION("""COMPUTED_VALUE"""),11)</f>
        <v>11</v>
      </c>
      <c r="F40" s="37" t="str">
        <f ca="1">IFERROR(__xludf.DUMMYFUNCTION("""COMPUTED_VALUE"""),"Новинкина Светлана Габдулловна")</f>
        <v>Новинкина Светлана Габдулловна</v>
      </c>
      <c r="G40" s="47">
        <f ca="1">IFERROR(__xludf.DUMMYFUNCTION("""COMPUTED_VALUE"""),6)</f>
        <v>6</v>
      </c>
      <c r="H40" s="47">
        <f ca="1">IFERROR(__xludf.DUMMYFUNCTION("""COMPUTED_VALUE"""),6)</f>
        <v>6</v>
      </c>
      <c r="I40" s="47">
        <f ca="1">IFERROR(__xludf.DUMMYFUNCTION("""COMPUTED_VALUE"""),5)</f>
        <v>5</v>
      </c>
      <c r="J40" s="47">
        <f ca="1">IFERROR(__xludf.DUMMYFUNCTION("""COMPUTED_VALUE"""),4)</f>
        <v>4</v>
      </c>
      <c r="K40" s="47">
        <f ca="1">IFERROR(__xludf.DUMMYFUNCTION("""COMPUTED_VALUE"""),0)</f>
        <v>0</v>
      </c>
      <c r="L40" s="47"/>
      <c r="M40" s="47"/>
      <c r="N40" s="47"/>
      <c r="O40" s="48">
        <f t="shared" ca="1" si="0"/>
        <v>21</v>
      </c>
      <c r="P40" s="37"/>
      <c r="Q40" s="48">
        <f t="shared" ca="1" si="1"/>
        <v>21</v>
      </c>
      <c r="R40" s="48">
        <v>34</v>
      </c>
      <c r="S40" s="47" t="s">
        <v>83</v>
      </c>
      <c r="T40" s="47"/>
    </row>
    <row r="41" spans="1:20" ht="12.75" x14ac:dyDescent="0.2">
      <c r="A41" s="48">
        <v>35</v>
      </c>
      <c r="B41" s="36" t="str">
        <f ca="1">IFERROR(__xludf.DUMMYFUNCTION("""COMPUTED_VALUE"""),"Гапиенко Дарья Дмитриевна")</f>
        <v>Гапиенко Дарья Дмитриевна</v>
      </c>
      <c r="C41" s="36"/>
      <c r="D41" s="40" t="str">
        <f ca="1">IFERROR(__xludf.DUMMYFUNCTION("""COMPUTED_VALUE"""),"МОУ ""СОШ №31""")</f>
        <v>МОУ "СОШ №31"</v>
      </c>
      <c r="E41" s="48">
        <f ca="1">IFERROR(__xludf.DUMMYFUNCTION("""COMPUTED_VALUE"""),11)</f>
        <v>11</v>
      </c>
      <c r="F41" s="36" t="str">
        <f ca="1">IFERROR(__xludf.DUMMYFUNCTION("""COMPUTED_VALUE"""),"Котлярова Евгения Владимировна")</f>
        <v>Котлярова Евгения Владимировна</v>
      </c>
      <c r="G41" s="48">
        <f ca="1">IFERROR(__xludf.DUMMYFUNCTION("""COMPUTED_VALUE"""),7)</f>
        <v>7</v>
      </c>
      <c r="H41" s="48">
        <f ca="1">IFERROR(__xludf.DUMMYFUNCTION("""COMPUTED_VALUE"""),3)</f>
        <v>3</v>
      </c>
      <c r="I41" s="48">
        <f ca="1">IFERROR(__xludf.DUMMYFUNCTION("""COMPUTED_VALUE"""),5)</f>
        <v>5</v>
      </c>
      <c r="J41" s="48">
        <f ca="1">IFERROR(__xludf.DUMMYFUNCTION("""COMPUTED_VALUE"""),4)</f>
        <v>4</v>
      </c>
      <c r="K41" s="48">
        <f ca="1">IFERROR(__xludf.DUMMYFUNCTION("""COMPUTED_VALUE"""),0)</f>
        <v>0</v>
      </c>
      <c r="L41" s="48"/>
      <c r="M41" s="48"/>
      <c r="N41" s="48"/>
      <c r="O41" s="48">
        <f t="shared" ca="1" si="0"/>
        <v>19</v>
      </c>
      <c r="P41" s="36"/>
      <c r="Q41" s="48">
        <f t="shared" ca="1" si="1"/>
        <v>19</v>
      </c>
      <c r="R41" s="48">
        <v>35</v>
      </c>
      <c r="S41" s="47" t="s">
        <v>83</v>
      </c>
      <c r="T41" s="47"/>
    </row>
    <row r="42" spans="1:20" ht="12.75" x14ac:dyDescent="0.2">
      <c r="A42" s="47">
        <v>36</v>
      </c>
      <c r="B42" s="36" t="str">
        <f ca="1">IFERROR(__xludf.DUMMYFUNCTION("""COMPUTED_VALUE"""),"Тугушева Розалия Равильевна")</f>
        <v>Тугушева Розалия Равильевна</v>
      </c>
      <c r="C42" s="36"/>
      <c r="D42" s="40" t="str">
        <f ca="1">IFERROR(__xludf.DUMMYFUNCTION("""COMPUTED_VALUE"""),"МОУ ""СОШ №33""")</f>
        <v>МОУ "СОШ №33"</v>
      </c>
      <c r="E42" s="48">
        <f ca="1">IFERROR(__xludf.DUMMYFUNCTION("""COMPUTED_VALUE"""),11)</f>
        <v>11</v>
      </c>
      <c r="F42" s="36" t="str">
        <f ca="1">IFERROR(__xludf.DUMMYFUNCTION("""COMPUTED_VALUE"""),"Чермашенцева Анжела Сергеевна")</f>
        <v>Чермашенцева Анжела Сергеевна</v>
      </c>
      <c r="G42" s="48">
        <f ca="1">IFERROR(__xludf.DUMMYFUNCTION("""COMPUTED_VALUE"""),6)</f>
        <v>6</v>
      </c>
      <c r="H42" s="48">
        <f ca="1">IFERROR(__xludf.DUMMYFUNCTION("""COMPUTED_VALUE"""),3)</f>
        <v>3</v>
      </c>
      <c r="I42" s="48">
        <f ca="1">IFERROR(__xludf.DUMMYFUNCTION("""COMPUTED_VALUE"""),6)</f>
        <v>6</v>
      </c>
      <c r="J42" s="48">
        <f ca="1">IFERROR(__xludf.DUMMYFUNCTION("""COMPUTED_VALUE"""),4)</f>
        <v>4</v>
      </c>
      <c r="K42" s="48">
        <f ca="1">IFERROR(__xludf.DUMMYFUNCTION("""COMPUTED_VALUE"""),0)</f>
        <v>0</v>
      </c>
      <c r="L42" s="48"/>
      <c r="M42" s="48"/>
      <c r="N42" s="48"/>
      <c r="O42" s="48">
        <f t="shared" ca="1" si="0"/>
        <v>19</v>
      </c>
      <c r="P42" s="36"/>
      <c r="Q42" s="48">
        <f t="shared" ca="1" si="1"/>
        <v>19</v>
      </c>
      <c r="R42" s="48">
        <v>36</v>
      </c>
      <c r="S42" s="47" t="s">
        <v>83</v>
      </c>
      <c r="T42" s="47"/>
    </row>
    <row r="43" spans="1:20" ht="12.75" x14ac:dyDescent="0.2">
      <c r="A43" s="48">
        <v>37</v>
      </c>
      <c r="B43" s="36" t="str">
        <f ca="1">IFERROR(__xludf.DUMMYFUNCTION("""COMPUTED_VALUE"""),"Райовская Мария Павловна")</f>
        <v>Райовская Мария Павловна</v>
      </c>
      <c r="C43" s="36"/>
      <c r="D43" s="40" t="str">
        <f ca="1">IFERROR(__xludf.DUMMYFUNCTION("""COMPUTED_VALUE"""),"МОУ ""СОШ №33""")</f>
        <v>МОУ "СОШ №33"</v>
      </c>
      <c r="E43" s="48">
        <f ca="1">IFERROR(__xludf.DUMMYFUNCTION("""COMPUTED_VALUE"""),11)</f>
        <v>11</v>
      </c>
      <c r="F43" s="36" t="str">
        <f ca="1">IFERROR(__xludf.DUMMYFUNCTION("""COMPUTED_VALUE"""),"Чермашенцева Анжела Сергеевна")</f>
        <v>Чермашенцева Анжела Сергеевна</v>
      </c>
      <c r="G43" s="48">
        <f ca="1">IFERROR(__xludf.DUMMYFUNCTION("""COMPUTED_VALUE"""),5)</f>
        <v>5</v>
      </c>
      <c r="H43" s="48">
        <f ca="1">IFERROR(__xludf.DUMMYFUNCTION("""COMPUTED_VALUE"""),3)</f>
        <v>3</v>
      </c>
      <c r="I43" s="48">
        <f ca="1">IFERROR(__xludf.DUMMYFUNCTION("""COMPUTED_VALUE"""),5)</f>
        <v>5</v>
      </c>
      <c r="J43" s="48">
        <f ca="1">IFERROR(__xludf.DUMMYFUNCTION("""COMPUTED_VALUE"""),4)</f>
        <v>4</v>
      </c>
      <c r="K43" s="48">
        <f ca="1">IFERROR(__xludf.DUMMYFUNCTION("""COMPUTED_VALUE"""),2)</f>
        <v>2</v>
      </c>
      <c r="L43" s="48"/>
      <c r="M43" s="48"/>
      <c r="N43" s="48"/>
      <c r="O43" s="48">
        <f t="shared" ca="1" si="0"/>
        <v>19</v>
      </c>
      <c r="P43" s="36"/>
      <c r="Q43" s="48">
        <f t="shared" ca="1" si="1"/>
        <v>19</v>
      </c>
      <c r="R43" s="48">
        <v>37</v>
      </c>
      <c r="S43" s="47" t="s">
        <v>83</v>
      </c>
      <c r="T43" s="47"/>
    </row>
    <row r="44" spans="1:20" ht="12.75" x14ac:dyDescent="0.2">
      <c r="A44" s="48">
        <v>38</v>
      </c>
      <c r="B44" s="37" t="str">
        <f ca="1">IFERROR(__xludf.DUMMYFUNCTION("""COMPUTED_VALUE"""),"Манаенков Даниил Владиславович")</f>
        <v>Манаенков Даниил Владиславович</v>
      </c>
      <c r="C44" s="37"/>
      <c r="D44" s="41" t="str">
        <f ca="1">IFERROR(__xludf.DUMMYFUNCTION("""COMPUTED_VALUE"""),"МОУ ""СОШ им. Ю.А. Гагарина """)</f>
        <v>МОУ "СОШ им. Ю.А. Гагарина "</v>
      </c>
      <c r="E44" s="47">
        <f ca="1">IFERROR(__xludf.DUMMYFUNCTION("""COMPUTED_VALUE"""),11)</f>
        <v>11</v>
      </c>
      <c r="F44" s="37" t="str">
        <f ca="1">IFERROR(__xludf.DUMMYFUNCTION("""COMPUTED_VALUE"""),"Павлова Лариса Сергеевна")</f>
        <v>Павлова Лариса Сергеевна</v>
      </c>
      <c r="G44" s="47">
        <f ca="1">IFERROR(__xludf.DUMMYFUNCTION("""COMPUTED_VALUE"""),4)</f>
        <v>4</v>
      </c>
      <c r="H44" s="47">
        <f ca="1">IFERROR(__xludf.DUMMYFUNCTION("""COMPUTED_VALUE"""),7)</f>
        <v>7</v>
      </c>
      <c r="I44" s="47">
        <f ca="1">IFERROR(__xludf.DUMMYFUNCTION("""COMPUTED_VALUE"""),1)</f>
        <v>1</v>
      </c>
      <c r="J44" s="47">
        <f ca="1">IFERROR(__xludf.DUMMYFUNCTION("""COMPUTED_VALUE"""),4)</f>
        <v>4</v>
      </c>
      <c r="K44" s="47">
        <f ca="1">IFERROR(__xludf.DUMMYFUNCTION("""COMPUTED_VALUE"""),3)</f>
        <v>3</v>
      </c>
      <c r="L44" s="47"/>
      <c r="M44" s="47"/>
      <c r="N44" s="47"/>
      <c r="O44" s="48">
        <f t="shared" ca="1" si="0"/>
        <v>19</v>
      </c>
      <c r="P44" s="37"/>
      <c r="Q44" s="48">
        <f t="shared" ca="1" si="1"/>
        <v>19</v>
      </c>
      <c r="R44" s="48">
        <v>38</v>
      </c>
      <c r="S44" s="47" t="s">
        <v>83</v>
      </c>
      <c r="T44" s="47"/>
    </row>
    <row r="45" spans="1:20" ht="12.75" x14ac:dyDescent="0.2">
      <c r="A45" s="48">
        <v>39</v>
      </c>
      <c r="B45" s="37" t="str">
        <f ca="1">IFERROR(__xludf.DUMMYFUNCTION("""COMPUTED_VALUE"""),"Юнева Ирина Сергеевна")</f>
        <v>Юнева Ирина Сергеевна</v>
      </c>
      <c r="C45" s="37"/>
      <c r="D45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45" s="47">
        <f ca="1">IFERROR(__xludf.DUMMYFUNCTION("""COMPUTED_VALUE"""),11)</f>
        <v>11</v>
      </c>
      <c r="F45" s="37" t="str">
        <f ca="1">IFERROR(__xludf.DUMMYFUNCTION("""COMPUTED_VALUE"""),"Новинкина Светлана Габдулловна")</f>
        <v>Новинкина Светлана Габдулловна</v>
      </c>
      <c r="G45" s="47">
        <f ca="1">IFERROR(__xludf.DUMMYFUNCTION("""COMPUTED_VALUE"""),5)</f>
        <v>5</v>
      </c>
      <c r="H45" s="47">
        <f ca="1">IFERROR(__xludf.DUMMYFUNCTION("""COMPUTED_VALUE"""),5)</f>
        <v>5</v>
      </c>
      <c r="I45" s="47">
        <f ca="1">IFERROR(__xludf.DUMMYFUNCTION("""COMPUTED_VALUE"""),5)</f>
        <v>5</v>
      </c>
      <c r="J45" s="47">
        <f ca="1">IFERROR(__xludf.DUMMYFUNCTION("""COMPUTED_VALUE"""),4)</f>
        <v>4</v>
      </c>
      <c r="K45" s="47">
        <f ca="1">IFERROR(__xludf.DUMMYFUNCTION("""COMPUTED_VALUE"""),0)</f>
        <v>0</v>
      </c>
      <c r="L45" s="47"/>
      <c r="M45" s="47"/>
      <c r="N45" s="47"/>
      <c r="O45" s="48">
        <f t="shared" ca="1" si="0"/>
        <v>19</v>
      </c>
      <c r="P45" s="37"/>
      <c r="Q45" s="48">
        <f t="shared" ca="1" si="1"/>
        <v>19</v>
      </c>
      <c r="R45" s="48">
        <v>39</v>
      </c>
      <c r="S45" s="47" t="s">
        <v>83</v>
      </c>
      <c r="T45" s="47"/>
    </row>
    <row r="46" spans="1:20" ht="12.75" x14ac:dyDescent="0.2">
      <c r="A46" s="47">
        <v>40</v>
      </c>
      <c r="B46" s="36" t="str">
        <f ca="1">IFERROR(__xludf.DUMMYFUNCTION("""COMPUTED_VALUE"""),"Вайс Елена Владимировна")</f>
        <v>Вайс Елена Владимировна</v>
      </c>
      <c r="C46" s="36"/>
      <c r="D46" s="40" t="str">
        <f ca="1">IFERROR(__xludf.DUMMYFUNCTION("""COMPUTED_VALUE"""),"МОУ ""СОШ №24""")</f>
        <v>МОУ "СОШ №24"</v>
      </c>
      <c r="E46" s="48">
        <f ca="1">IFERROR(__xludf.DUMMYFUNCTION("""COMPUTED_VALUE"""),11)</f>
        <v>11</v>
      </c>
      <c r="F46" s="36" t="str">
        <f ca="1">IFERROR(__xludf.DUMMYFUNCTION("""COMPUTED_VALUE"""),"Моисеева Татьяна Владимировна")</f>
        <v>Моисеева Татьяна Владимировна</v>
      </c>
      <c r="G46" s="48">
        <f ca="1">IFERROR(__xludf.DUMMYFUNCTION("""COMPUTED_VALUE"""),6)</f>
        <v>6</v>
      </c>
      <c r="H46" s="48">
        <f ca="1">IFERROR(__xludf.DUMMYFUNCTION("""COMPUTED_VALUE"""),2)</f>
        <v>2</v>
      </c>
      <c r="I46" s="48">
        <f ca="1">IFERROR(__xludf.DUMMYFUNCTION("""COMPUTED_VALUE"""),5)</f>
        <v>5</v>
      </c>
      <c r="J46" s="48">
        <f ca="1">IFERROR(__xludf.DUMMYFUNCTION("""COMPUTED_VALUE"""),4)</f>
        <v>4</v>
      </c>
      <c r="K46" s="48">
        <f ca="1">IFERROR(__xludf.DUMMYFUNCTION("""COMPUTED_VALUE"""),0)</f>
        <v>0</v>
      </c>
      <c r="L46" s="48"/>
      <c r="M46" s="48"/>
      <c r="N46" s="48"/>
      <c r="O46" s="48">
        <f t="shared" ca="1" si="0"/>
        <v>17</v>
      </c>
      <c r="P46" s="36"/>
      <c r="Q46" s="48">
        <f t="shared" ca="1" si="1"/>
        <v>17</v>
      </c>
      <c r="R46" s="48">
        <v>40</v>
      </c>
      <c r="S46" s="47" t="s">
        <v>83</v>
      </c>
      <c r="T46" s="47"/>
    </row>
    <row r="47" spans="1:20" ht="12.75" x14ac:dyDescent="0.2">
      <c r="A47" s="48">
        <v>41</v>
      </c>
      <c r="B47" s="39" t="str">
        <f ca="1">IFERROR(__xludf.DUMMYFUNCTION("IMPORTRANGE(""https://docs.google.com/spreadsheets/d/16CWr8ky6L0i1S4UOLMYHizeHS6aZnIDEnQPyRJyTpcI/edit#gid=0"", ""Патриот!B38:O46"")"),"Камаев Артем Сергеевич")</f>
        <v>Камаев Артем Сергеевич</v>
      </c>
      <c r="C47" s="37"/>
      <c r="D47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47" s="47">
        <f ca="1">IFERROR(__xludf.DUMMYFUNCTION("""COMPUTED_VALUE"""),11)</f>
        <v>11</v>
      </c>
      <c r="F47" s="37" t="str">
        <f ca="1">IFERROR(__xludf.DUMMYFUNCTION("""COMPUTED_VALUE"""),"Новинкина Светлана Габдулловна")</f>
        <v>Новинкина Светлана Габдулловна</v>
      </c>
      <c r="G47" s="47">
        <f ca="1">IFERROR(__xludf.DUMMYFUNCTION("""COMPUTED_VALUE"""),6)</f>
        <v>6</v>
      </c>
      <c r="H47" s="47">
        <f ca="1">IFERROR(__xludf.DUMMYFUNCTION("""COMPUTED_VALUE"""),3)</f>
        <v>3</v>
      </c>
      <c r="I47" s="47">
        <f ca="1">IFERROR(__xludf.DUMMYFUNCTION("""COMPUTED_VALUE"""),4)</f>
        <v>4</v>
      </c>
      <c r="J47" s="47">
        <f ca="1">IFERROR(__xludf.DUMMYFUNCTION("""COMPUTED_VALUE"""),4)</f>
        <v>4</v>
      </c>
      <c r="K47" s="47">
        <f ca="1">IFERROR(__xludf.DUMMYFUNCTION("""COMPUTED_VALUE"""),0)</f>
        <v>0</v>
      </c>
      <c r="L47" s="47"/>
      <c r="M47" s="47"/>
      <c r="N47" s="47"/>
      <c r="O47" s="48">
        <f t="shared" ca="1" si="0"/>
        <v>17</v>
      </c>
      <c r="P47" s="37"/>
      <c r="Q47" s="48">
        <f t="shared" ca="1" si="1"/>
        <v>17</v>
      </c>
      <c r="R47" s="48">
        <v>41</v>
      </c>
      <c r="S47" s="47" t="s">
        <v>83</v>
      </c>
      <c r="T47" s="47"/>
    </row>
    <row r="48" spans="1:20" ht="12.75" x14ac:dyDescent="0.2">
      <c r="A48" s="48">
        <v>42</v>
      </c>
      <c r="B48" s="37" t="str">
        <f ca="1">IFERROR(__xludf.DUMMYFUNCTION("""COMPUTED_VALUE"""),"Новиков Артем Александрович")</f>
        <v>Новиков Артем Александрович</v>
      </c>
      <c r="C48" s="37"/>
      <c r="D48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48" s="47">
        <f ca="1">IFERROR(__xludf.DUMMYFUNCTION("""COMPUTED_VALUE"""),11)</f>
        <v>11</v>
      </c>
      <c r="F48" s="37" t="str">
        <f ca="1">IFERROR(__xludf.DUMMYFUNCTION("""COMPUTED_VALUE"""),"Новинкина Светлана Габдулловна")</f>
        <v>Новинкина Светлана Габдулловна</v>
      </c>
      <c r="G48" s="47">
        <f ca="1">IFERROR(__xludf.DUMMYFUNCTION("""COMPUTED_VALUE"""),6)</f>
        <v>6</v>
      </c>
      <c r="H48" s="47">
        <f ca="1">IFERROR(__xludf.DUMMYFUNCTION("""COMPUTED_VALUE"""),3)</f>
        <v>3</v>
      </c>
      <c r="I48" s="47">
        <f ca="1">IFERROR(__xludf.DUMMYFUNCTION("""COMPUTED_VALUE"""),4)</f>
        <v>4</v>
      </c>
      <c r="J48" s="47">
        <f ca="1">IFERROR(__xludf.DUMMYFUNCTION("""COMPUTED_VALUE"""),4)</f>
        <v>4</v>
      </c>
      <c r="K48" s="47">
        <f ca="1">IFERROR(__xludf.DUMMYFUNCTION("""COMPUTED_VALUE"""),0)</f>
        <v>0</v>
      </c>
      <c r="L48" s="47"/>
      <c r="M48" s="47"/>
      <c r="N48" s="47"/>
      <c r="O48" s="48">
        <f t="shared" ca="1" si="0"/>
        <v>17</v>
      </c>
      <c r="P48" s="37"/>
      <c r="Q48" s="48">
        <f t="shared" ca="1" si="1"/>
        <v>17</v>
      </c>
      <c r="R48" s="48">
        <v>42</v>
      </c>
      <c r="S48" s="47" t="s">
        <v>83</v>
      </c>
      <c r="T48" s="47"/>
    </row>
    <row r="49" spans="1:20" ht="12.75" x14ac:dyDescent="0.2">
      <c r="A49" s="48">
        <v>43</v>
      </c>
      <c r="B49" s="36" t="str">
        <f ca="1">IFERROR(__xludf.DUMMYFUNCTION("""COMPUTED_VALUE"""),"Зотов Евгений Павлович")</f>
        <v>Зотов Евгений Павлович</v>
      </c>
      <c r="C49" s="36"/>
      <c r="D49" s="40" t="str">
        <f ca="1">IFERROR(__xludf.DUMMYFUNCTION("""COMPUTED_VALUE"""),"МОУ ""СОШ №4""")</f>
        <v>МОУ "СОШ №4"</v>
      </c>
      <c r="E49" s="48">
        <f ca="1">IFERROR(__xludf.DUMMYFUNCTION("""COMPUTED_VALUE"""),11)</f>
        <v>11</v>
      </c>
      <c r="F49" s="36" t="str">
        <f ca="1">IFERROR(__xludf.DUMMYFUNCTION("""COMPUTED_VALUE"""),"Шевченко Татьяна Петровна")</f>
        <v>Шевченко Татьяна Петровна</v>
      </c>
      <c r="G49" s="48">
        <f ca="1">IFERROR(__xludf.DUMMYFUNCTION("""COMPUTED_VALUE"""),4)</f>
        <v>4</v>
      </c>
      <c r="H49" s="48">
        <f ca="1">IFERROR(__xludf.DUMMYFUNCTION("""COMPUTED_VALUE"""),5)</f>
        <v>5</v>
      </c>
      <c r="I49" s="48">
        <f ca="1">IFERROR(__xludf.DUMMYFUNCTION("""COMPUTED_VALUE"""),3)</f>
        <v>3</v>
      </c>
      <c r="J49" s="48">
        <f ca="1">IFERROR(__xludf.DUMMYFUNCTION("""COMPUTED_VALUE"""),4)</f>
        <v>4</v>
      </c>
      <c r="K49" s="48">
        <f ca="1">IFERROR(__xludf.DUMMYFUNCTION("""COMPUTED_VALUE"""),0)</f>
        <v>0</v>
      </c>
      <c r="L49" s="48"/>
      <c r="M49" s="48"/>
      <c r="N49" s="48"/>
      <c r="O49" s="48">
        <f t="shared" ca="1" si="0"/>
        <v>16</v>
      </c>
      <c r="P49" s="36"/>
      <c r="Q49" s="48">
        <f t="shared" ca="1" si="1"/>
        <v>16</v>
      </c>
      <c r="R49" s="48">
        <v>43</v>
      </c>
      <c r="S49" s="47" t="s">
        <v>88</v>
      </c>
      <c r="T49" s="47"/>
    </row>
    <row r="50" spans="1:20" ht="12.75" x14ac:dyDescent="0.2">
      <c r="A50" s="47">
        <v>44</v>
      </c>
      <c r="B50" s="37" t="str">
        <f ca="1">IFERROR(__xludf.DUMMYFUNCTION("""COMPUTED_VALUE"""),"Ильина Алина Сергеевна")</f>
        <v>Ильина Алина Сергеевна</v>
      </c>
      <c r="C50" s="37"/>
      <c r="D50" s="41" t="str">
        <f ca="1">IFERROR(__xludf.DUMMYFUNCTION("""COMPUTED_VALUE"""),"МОУ ""СОШ ""Патриот"" с кадетскими классами""")</f>
        <v>МОУ "СОШ "Патриот" с кадетскими классами"</v>
      </c>
      <c r="E50" s="47">
        <f ca="1">IFERROR(__xludf.DUMMYFUNCTION("""COMPUTED_VALUE"""),11)</f>
        <v>11</v>
      </c>
      <c r="F50" s="37" t="str">
        <f ca="1">IFERROR(__xludf.DUMMYFUNCTION("""COMPUTED_VALUE"""),"Новинкина Светлана Габдулловна")</f>
        <v>Новинкина Светлана Габдулловна</v>
      </c>
      <c r="G50" s="47">
        <f ca="1">IFERROR(__xludf.DUMMYFUNCTION("""COMPUTED_VALUE"""),5)</f>
        <v>5</v>
      </c>
      <c r="H50" s="47">
        <f ca="1">IFERROR(__xludf.DUMMYFUNCTION("""COMPUTED_VALUE"""),3)</f>
        <v>3</v>
      </c>
      <c r="I50" s="47">
        <f ca="1">IFERROR(__xludf.DUMMYFUNCTION("""COMPUTED_VALUE"""),4)</f>
        <v>4</v>
      </c>
      <c r="J50" s="47">
        <f ca="1">IFERROR(__xludf.DUMMYFUNCTION("""COMPUTED_VALUE"""),4)</f>
        <v>4</v>
      </c>
      <c r="K50" s="47">
        <f ca="1">IFERROR(__xludf.DUMMYFUNCTION("""COMPUTED_VALUE"""),0)</f>
        <v>0</v>
      </c>
      <c r="L50" s="47"/>
      <c r="M50" s="47"/>
      <c r="N50" s="47"/>
      <c r="O50" s="48">
        <f t="shared" ca="1" si="0"/>
        <v>16</v>
      </c>
      <c r="P50" s="37"/>
      <c r="Q50" s="48">
        <f t="shared" ca="1" si="1"/>
        <v>16</v>
      </c>
      <c r="R50" s="48">
        <v>44</v>
      </c>
      <c r="S50" s="47" t="s">
        <v>88</v>
      </c>
      <c r="T50" s="47"/>
    </row>
    <row r="51" spans="1:20" ht="12.75" x14ac:dyDescent="0.2">
      <c r="A51" s="48">
        <v>45</v>
      </c>
      <c r="B51" s="36" t="str">
        <f ca="1">IFERROR(__xludf.DUMMYFUNCTION("""COMPUTED_VALUE"""),"Севостьянов Егор Дмитриевич")</f>
        <v>Севостьянов Егор Дмитриевич</v>
      </c>
      <c r="C51" s="36"/>
      <c r="D51" s="40" t="str">
        <f ca="1">IFERROR(__xludf.DUMMYFUNCTION("""COMPUTED_VALUE"""),"МОУ ""СОШ №24""")</f>
        <v>МОУ "СОШ №24"</v>
      </c>
      <c r="E51" s="48">
        <f ca="1">IFERROR(__xludf.DUMMYFUNCTION("""COMPUTED_VALUE"""),11)</f>
        <v>11</v>
      </c>
      <c r="F51" s="36" t="str">
        <f ca="1">IFERROR(__xludf.DUMMYFUNCTION("""COMPUTED_VALUE"""),"Моисеева Татьяна Владимировна")</f>
        <v>Моисеева Татьяна Владимировна</v>
      </c>
      <c r="G51" s="48">
        <f ca="1">IFERROR(__xludf.DUMMYFUNCTION("""COMPUTED_VALUE"""),4)</f>
        <v>4</v>
      </c>
      <c r="H51" s="48">
        <f ca="1">IFERROR(__xludf.DUMMYFUNCTION("""COMPUTED_VALUE"""),0)</f>
        <v>0</v>
      </c>
      <c r="I51" s="48">
        <f ca="1">IFERROR(__xludf.DUMMYFUNCTION("""COMPUTED_VALUE"""),6)</f>
        <v>6</v>
      </c>
      <c r="J51" s="48">
        <f ca="1">IFERROR(__xludf.DUMMYFUNCTION("""COMPUTED_VALUE"""),4)</f>
        <v>4</v>
      </c>
      <c r="K51" s="48">
        <f ca="1">IFERROR(__xludf.DUMMYFUNCTION("""COMPUTED_VALUE"""),0)</f>
        <v>0</v>
      </c>
      <c r="L51" s="48"/>
      <c r="M51" s="48"/>
      <c r="N51" s="48"/>
      <c r="O51" s="48">
        <f t="shared" ca="1" si="0"/>
        <v>14</v>
      </c>
      <c r="P51" s="36"/>
      <c r="Q51" s="48">
        <f t="shared" ca="1" si="1"/>
        <v>14</v>
      </c>
      <c r="R51" s="48">
        <v>45</v>
      </c>
      <c r="S51" s="47" t="s">
        <v>88</v>
      </c>
      <c r="T51" s="47"/>
    </row>
    <row r="52" spans="1:20" ht="12.75" x14ac:dyDescent="0.2">
      <c r="A52" s="48">
        <v>46</v>
      </c>
      <c r="B52" s="39" t="str">
        <f ca="1">IFERROR(__xludf.DUMMYFUNCTION("IMPORTRANGE(""https://docs.google.com/spreadsheets/d/16CWr8ky6L0i1S4UOLMYHizeHS6aZnIDEnQPyRJyTpcI/edit#gid=0"", ""СОШ с. Березовка!B33:O37"")"),"Бычкова Светлана Александровна")</f>
        <v>Бычкова Светлана Александровна</v>
      </c>
      <c r="C52" s="37"/>
      <c r="D52" s="41" t="str">
        <f ca="1">IFERROR(__xludf.DUMMYFUNCTION("""COMPUTED_VALUE"""),"МОУ ""СОШ с. Березовка""")</f>
        <v>МОУ "СОШ с. Березовка"</v>
      </c>
      <c r="E52" s="47">
        <f ca="1">IFERROR(__xludf.DUMMYFUNCTION("""COMPUTED_VALUE"""),11)</f>
        <v>11</v>
      </c>
      <c r="F52" s="37" t="str">
        <f ca="1">IFERROR(__xludf.DUMMYFUNCTION("""COMPUTED_VALUE"""),"Турсумбек Нагима Айгалиевна")</f>
        <v>Турсумбек Нагима Айгалиевна</v>
      </c>
      <c r="G52" s="47">
        <f ca="1">IFERROR(__xludf.DUMMYFUNCTION("""COMPUTED_VALUE"""),9)</f>
        <v>9</v>
      </c>
      <c r="H52" s="47">
        <f ca="1">IFERROR(__xludf.DUMMYFUNCTION("""COMPUTED_VALUE"""),0)</f>
        <v>0</v>
      </c>
      <c r="I52" s="47">
        <f ca="1">IFERROR(__xludf.DUMMYFUNCTION("""COMPUTED_VALUE"""),4)</f>
        <v>4</v>
      </c>
      <c r="J52" s="47">
        <f ca="1">IFERROR(__xludf.DUMMYFUNCTION("""COMPUTED_VALUE"""),0)</f>
        <v>0</v>
      </c>
      <c r="K52" s="47">
        <f ca="1">IFERROR(__xludf.DUMMYFUNCTION("""COMPUTED_VALUE"""),0)</f>
        <v>0</v>
      </c>
      <c r="L52" s="47"/>
      <c r="M52" s="47"/>
      <c r="N52" s="47"/>
      <c r="O52" s="48">
        <f t="shared" ca="1" si="0"/>
        <v>13</v>
      </c>
      <c r="P52" s="37"/>
      <c r="Q52" s="48">
        <f t="shared" ca="1" si="1"/>
        <v>13</v>
      </c>
      <c r="R52" s="48">
        <v>46</v>
      </c>
      <c r="S52" s="47" t="s">
        <v>88</v>
      </c>
      <c r="T52" s="47"/>
    </row>
    <row r="53" spans="1:20" ht="12.75" x14ac:dyDescent="0.2">
      <c r="A53" s="48">
        <v>47</v>
      </c>
      <c r="B53" s="39" t="str">
        <f ca="1">IFERROR(__xludf.DUMMYFUNCTION("IMPORTRANGE(""https://docs.google.com/spreadsheets/d/16CWr8ky6L0i1S4UOLMYHizeHS6aZnIDEnQPyRJyTpcI/edit#gid=0"", ""СОШ №24!B33:O37"")"),"Аленников Владислав Александрович")</f>
        <v>Аленников Владислав Александрович</v>
      </c>
      <c r="C53" s="36"/>
      <c r="D53" s="40" t="str">
        <f ca="1">IFERROR(__xludf.DUMMYFUNCTION("""COMPUTED_VALUE"""),"МОУ ""СОШ №24""")</f>
        <v>МОУ "СОШ №24"</v>
      </c>
      <c r="E53" s="48">
        <f ca="1">IFERROR(__xludf.DUMMYFUNCTION("""COMPUTED_VALUE"""),11)</f>
        <v>11</v>
      </c>
      <c r="F53" s="36" t="str">
        <f ca="1">IFERROR(__xludf.DUMMYFUNCTION("""COMPUTED_VALUE"""),"Моисеева Татьяна Владимировна")</f>
        <v>Моисеева Татьяна Владимировна</v>
      </c>
      <c r="G53" s="48">
        <f ca="1">IFERROR(__xludf.DUMMYFUNCTION("""COMPUTED_VALUE"""),5)</f>
        <v>5</v>
      </c>
      <c r="H53" s="48">
        <f ca="1">IFERROR(__xludf.DUMMYFUNCTION("""COMPUTED_VALUE"""),2)</f>
        <v>2</v>
      </c>
      <c r="I53" s="48">
        <f ca="1">IFERROR(__xludf.DUMMYFUNCTION("""COMPUTED_VALUE"""),1)</f>
        <v>1</v>
      </c>
      <c r="J53" s="48">
        <f ca="1">IFERROR(__xludf.DUMMYFUNCTION("""COMPUTED_VALUE"""),4)</f>
        <v>4</v>
      </c>
      <c r="K53" s="48">
        <f ca="1">IFERROR(__xludf.DUMMYFUNCTION("""COMPUTED_VALUE"""),0)</f>
        <v>0</v>
      </c>
      <c r="L53" s="48"/>
      <c r="M53" s="48"/>
      <c r="N53" s="48"/>
      <c r="O53" s="48">
        <f t="shared" ca="1" si="0"/>
        <v>12</v>
      </c>
      <c r="P53" s="36"/>
      <c r="Q53" s="48">
        <f t="shared" ca="1" si="1"/>
        <v>12</v>
      </c>
      <c r="R53" s="48">
        <v>47</v>
      </c>
      <c r="S53" s="47" t="s">
        <v>88</v>
      </c>
      <c r="T53" s="47"/>
    </row>
    <row r="54" spans="1:20" ht="12.75" x14ac:dyDescent="0.2">
      <c r="A54" s="47">
        <v>48</v>
      </c>
      <c r="B54" s="37" t="str">
        <f ca="1">IFERROR(__xludf.DUMMYFUNCTION("""COMPUTED_VALUE"""),"Орлов Артём Андреевич")</f>
        <v>Орлов Артём Андреевич</v>
      </c>
      <c r="C54" s="37"/>
      <c r="D54" s="41" t="str">
        <f ca="1">IFERROR(__xludf.DUMMYFUNCTION("""COMPUTED_VALUE"""),"МОУ ""СОШ с. Березовка""")</f>
        <v>МОУ "СОШ с. Березовка"</v>
      </c>
      <c r="E54" s="47">
        <f ca="1">IFERROR(__xludf.DUMMYFUNCTION("""COMPUTED_VALUE"""),11)</f>
        <v>11</v>
      </c>
      <c r="F54" s="37" t="str">
        <f ca="1">IFERROR(__xludf.DUMMYFUNCTION("""COMPUTED_VALUE"""),"Турсумбек Нагима Айгалиевна")</f>
        <v>Турсумбек Нагима Айгалиевна</v>
      </c>
      <c r="G54" s="47">
        <f ca="1">IFERROR(__xludf.DUMMYFUNCTION("""COMPUTED_VALUE"""),7)</f>
        <v>7</v>
      </c>
      <c r="H54" s="47">
        <f ca="1">IFERROR(__xludf.DUMMYFUNCTION("""COMPUTED_VALUE"""),0)</f>
        <v>0</v>
      </c>
      <c r="I54" s="47">
        <f ca="1">IFERROR(__xludf.DUMMYFUNCTION("""COMPUTED_VALUE"""),4)</f>
        <v>4</v>
      </c>
      <c r="J54" s="47">
        <f ca="1">IFERROR(__xludf.DUMMYFUNCTION("""COMPUTED_VALUE"""),0)</f>
        <v>0</v>
      </c>
      <c r="K54" s="47">
        <f ca="1">IFERROR(__xludf.DUMMYFUNCTION("""COMPUTED_VALUE"""),0)</f>
        <v>0</v>
      </c>
      <c r="L54" s="47"/>
      <c r="M54" s="47"/>
      <c r="N54" s="47"/>
      <c r="O54" s="48">
        <f t="shared" ca="1" si="0"/>
        <v>11</v>
      </c>
      <c r="P54" s="37"/>
      <c r="Q54" s="48">
        <f t="shared" ca="1" si="1"/>
        <v>11</v>
      </c>
      <c r="R54" s="48">
        <v>48</v>
      </c>
      <c r="S54" s="47" t="s">
        <v>88</v>
      </c>
      <c r="T54" s="47"/>
    </row>
  </sheetData>
  <sortState ref="A3:S328">
    <sortCondition descending="1" ref="O3:O328"/>
  </sortState>
  <mergeCells count="11">
    <mergeCell ref="G5:L5"/>
    <mergeCell ref="A2:S2"/>
    <mergeCell ref="A3:S3"/>
    <mergeCell ref="A5:A6"/>
    <mergeCell ref="B5:B6"/>
    <mergeCell ref="C5:C6"/>
    <mergeCell ref="D5:D6"/>
    <mergeCell ref="E5:E6"/>
    <mergeCell ref="F5:F6"/>
    <mergeCell ref="A4:S4"/>
    <mergeCell ref="S5:T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57.28515625" customWidth="1"/>
    <col min="4" max="4" width="21.140625" customWidth="1"/>
    <col min="6" max="6" width="57.2851562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17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17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17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17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17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17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17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17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17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17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17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17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17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17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17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17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17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17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17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17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17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17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17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17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17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17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17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17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17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17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17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17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17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17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17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9.140625" customWidth="1"/>
    <col min="2" max="2" width="57.28515625" customWidth="1"/>
    <col min="4" max="4" width="21.140625" customWidth="1"/>
    <col min="6" max="6" width="57.28515625" customWidth="1"/>
    <col min="7" max="14" width="10.85546875" customWidth="1"/>
  </cols>
  <sheetData>
    <row r="1" spans="1:19" x14ac:dyDescent="0.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127" t="s">
        <v>6</v>
      </c>
      <c r="H1" s="128"/>
      <c r="I1" s="128"/>
      <c r="J1" s="128"/>
      <c r="K1" s="128"/>
      <c r="L1" s="128"/>
      <c r="M1" s="128"/>
      <c r="N1" s="129"/>
      <c r="O1" s="7" t="s">
        <v>16</v>
      </c>
      <c r="P1" s="7" t="s">
        <v>8</v>
      </c>
      <c r="Q1" s="7" t="s">
        <v>9</v>
      </c>
      <c r="R1" s="7" t="s">
        <v>10</v>
      </c>
      <c r="S1" s="7" t="s">
        <v>11</v>
      </c>
    </row>
    <row r="2" spans="1:19" x14ac:dyDescent="0.2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 x14ac:dyDescent="0.2">
      <c r="A3" s="10">
        <v>1</v>
      </c>
      <c r="B3" s="9"/>
      <c r="C3" s="1"/>
      <c r="D3" s="10" t="s">
        <v>18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 x14ac:dyDescent="0.2">
      <c r="A4" s="10">
        <v>2</v>
      </c>
      <c r="B4" s="9"/>
      <c r="C4" s="1"/>
      <c r="D4" s="10" t="s">
        <v>18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 x14ac:dyDescent="0.2">
      <c r="A5" s="10">
        <v>3</v>
      </c>
      <c r="B5" s="9"/>
      <c r="C5" s="1"/>
      <c r="D5" s="10" t="s">
        <v>18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 x14ac:dyDescent="0.2">
      <c r="A6" s="10">
        <v>4</v>
      </c>
      <c r="B6" s="9"/>
      <c r="C6" s="1"/>
      <c r="D6" s="10" t="s">
        <v>18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 x14ac:dyDescent="0.2">
      <c r="A7" s="10">
        <v>5</v>
      </c>
      <c r="B7" s="9"/>
      <c r="C7" s="1"/>
      <c r="D7" s="10" t="s">
        <v>18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 x14ac:dyDescent="0.2">
      <c r="A8" s="10">
        <v>6</v>
      </c>
      <c r="B8" s="9"/>
      <c r="C8" s="1"/>
      <c r="D8" s="10" t="s">
        <v>18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 x14ac:dyDescent="0.2">
      <c r="A9" s="10">
        <v>7</v>
      </c>
      <c r="B9" s="9"/>
      <c r="C9" s="1"/>
      <c r="D9" s="10" t="s">
        <v>18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 x14ac:dyDescent="0.2">
      <c r="A10" s="10">
        <v>8</v>
      </c>
      <c r="B10" s="9"/>
      <c r="C10" s="1"/>
      <c r="D10" s="10" t="s">
        <v>18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 x14ac:dyDescent="0.2">
      <c r="A11" s="10">
        <v>9</v>
      </c>
      <c r="B11" s="9"/>
      <c r="C11" s="1"/>
      <c r="D11" s="10" t="s">
        <v>18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 x14ac:dyDescent="0.2">
      <c r="A12" s="10">
        <v>10</v>
      </c>
      <c r="B12" s="9"/>
      <c r="C12" s="1"/>
      <c r="D12" s="10" t="s">
        <v>18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 x14ac:dyDescent="0.2">
      <c r="A13" s="10">
        <v>11</v>
      </c>
      <c r="B13" s="9"/>
      <c r="C13" s="1"/>
      <c r="D13" s="10" t="s">
        <v>18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 x14ac:dyDescent="0.2">
      <c r="A14" s="10">
        <v>12</v>
      </c>
      <c r="B14" s="9"/>
      <c r="C14" s="1"/>
      <c r="D14" s="10" t="s">
        <v>18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 x14ac:dyDescent="0.2">
      <c r="A15" s="10">
        <v>13</v>
      </c>
      <c r="B15" s="9"/>
      <c r="C15" s="1"/>
      <c r="D15" s="10" t="s">
        <v>18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 x14ac:dyDescent="0.2">
      <c r="A16" s="10">
        <v>14</v>
      </c>
      <c r="B16" s="9"/>
      <c r="C16" s="1"/>
      <c r="D16" s="10" t="s">
        <v>18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 x14ac:dyDescent="0.2">
      <c r="A17" s="10">
        <v>15</v>
      </c>
      <c r="B17" s="9"/>
      <c r="C17" s="1"/>
      <c r="D17" s="10" t="s">
        <v>18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 x14ac:dyDescent="0.2">
      <c r="A18" s="10">
        <v>16</v>
      </c>
      <c r="B18" s="9"/>
      <c r="C18" s="1"/>
      <c r="D18" s="10" t="s">
        <v>18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 x14ac:dyDescent="0.2">
      <c r="A19" s="10">
        <v>17</v>
      </c>
      <c r="B19" s="9"/>
      <c r="C19" s="1"/>
      <c r="D19" s="10" t="s">
        <v>18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 x14ac:dyDescent="0.2">
      <c r="A20" s="10">
        <v>18</v>
      </c>
      <c r="B20" s="9"/>
      <c r="C20" s="1"/>
      <c r="D20" s="10" t="s">
        <v>18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 x14ac:dyDescent="0.2">
      <c r="A21" s="10">
        <v>19</v>
      </c>
      <c r="B21" s="9"/>
      <c r="C21" s="1"/>
      <c r="D21" s="10" t="s">
        <v>18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 x14ac:dyDescent="0.2">
      <c r="A22" s="10">
        <v>20</v>
      </c>
      <c r="B22" s="9"/>
      <c r="C22" s="1"/>
      <c r="D22" s="10" t="s">
        <v>18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 x14ac:dyDescent="0.2">
      <c r="A23" s="10">
        <v>21</v>
      </c>
      <c r="B23" s="9"/>
      <c r="C23" s="1"/>
      <c r="D23" s="10" t="s">
        <v>18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 x14ac:dyDescent="0.2">
      <c r="A24" s="10">
        <v>22</v>
      </c>
      <c r="B24" s="9"/>
      <c r="C24" s="1"/>
      <c r="D24" s="10" t="s">
        <v>18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 x14ac:dyDescent="0.2">
      <c r="A25" s="10">
        <v>23</v>
      </c>
      <c r="B25" s="9"/>
      <c r="C25" s="1"/>
      <c r="D25" s="10" t="s">
        <v>18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 x14ac:dyDescent="0.2">
      <c r="A26" s="10">
        <v>24</v>
      </c>
      <c r="B26" s="9"/>
      <c r="C26" s="1"/>
      <c r="D26" s="10" t="s">
        <v>18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 x14ac:dyDescent="0.2">
      <c r="A27" s="10">
        <v>25</v>
      </c>
      <c r="B27" s="9"/>
      <c r="C27" s="1"/>
      <c r="D27" s="10" t="s">
        <v>18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 x14ac:dyDescent="0.2">
      <c r="A28" s="10">
        <v>26</v>
      </c>
      <c r="B28" s="9"/>
      <c r="C28" s="1"/>
      <c r="D28" s="10" t="s">
        <v>18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 x14ac:dyDescent="0.2">
      <c r="A29" s="10">
        <v>27</v>
      </c>
      <c r="B29" s="9"/>
      <c r="C29" s="1"/>
      <c r="D29" s="10" t="s">
        <v>18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 x14ac:dyDescent="0.2">
      <c r="A30" s="10">
        <v>28</v>
      </c>
      <c r="B30" s="9"/>
      <c r="C30" s="1"/>
      <c r="D30" s="10" t="s">
        <v>18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 x14ac:dyDescent="0.2">
      <c r="A31" s="10">
        <v>29</v>
      </c>
      <c r="B31" s="9"/>
      <c r="C31" s="1"/>
      <c r="D31" s="10" t="s">
        <v>18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 x14ac:dyDescent="0.2">
      <c r="A32" s="10">
        <v>30</v>
      </c>
      <c r="B32" s="9"/>
      <c r="C32" s="1"/>
      <c r="D32" s="10" t="s">
        <v>18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 x14ac:dyDescent="0.2">
      <c r="A33" s="10">
        <v>31</v>
      </c>
      <c r="B33" s="9"/>
      <c r="C33" s="1"/>
      <c r="D33" s="10" t="s">
        <v>18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 x14ac:dyDescent="0.2">
      <c r="A34" s="10">
        <v>32</v>
      </c>
      <c r="B34" s="9"/>
      <c r="C34" s="1"/>
      <c r="D34" s="10" t="s">
        <v>18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 x14ac:dyDescent="0.2">
      <c r="A35" s="10">
        <v>33</v>
      </c>
      <c r="B35" s="9"/>
      <c r="C35" s="1"/>
      <c r="D35" s="10" t="s">
        <v>18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 x14ac:dyDescent="0.2">
      <c r="A36" s="10">
        <v>34</v>
      </c>
      <c r="B36" s="9"/>
      <c r="C36" s="1"/>
      <c r="D36" s="10" t="s">
        <v>18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 x14ac:dyDescent="0.2">
      <c r="A37" s="10">
        <v>35</v>
      </c>
      <c r="B37" s="9"/>
      <c r="C37" s="1"/>
      <c r="D37" s="10" t="s">
        <v>18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37</vt:i4>
      </vt:variant>
    </vt:vector>
  </HeadingPairs>
  <TitlesOfParts>
    <vt:vector size="37" baseType="lpstr">
      <vt:lpstr>5 кл</vt:lpstr>
      <vt:lpstr>6 кл</vt:lpstr>
      <vt:lpstr>7 кл</vt:lpstr>
      <vt:lpstr>8 кл</vt:lpstr>
      <vt:lpstr>9 кл</vt:lpstr>
      <vt:lpstr>10 кл</vt:lpstr>
      <vt:lpstr>11 кл</vt:lpstr>
      <vt:lpstr>СОШ №2</vt:lpstr>
      <vt:lpstr>СОШ №3</vt:lpstr>
      <vt:lpstr>СОШ №7</vt:lpstr>
      <vt:lpstr>СОШ №12</vt:lpstr>
      <vt:lpstr>СОШ №16</vt:lpstr>
      <vt:lpstr>СОШ №18</vt:lpstr>
      <vt:lpstr>СОШ №20</vt:lpstr>
      <vt:lpstr>СОШ №21</vt:lpstr>
      <vt:lpstr>ООШ №26</vt:lpstr>
      <vt:lpstr>СОШ №29</vt:lpstr>
      <vt:lpstr>СОШ №30 </vt:lpstr>
      <vt:lpstr>СОШ №32</vt:lpstr>
      <vt:lpstr>СОШ №42</vt:lpstr>
      <vt:lpstr>СОШ п. Бурный</vt:lpstr>
      <vt:lpstr>ООШ с. Безымянное</vt:lpstr>
      <vt:lpstr>ООШ п. Взлетный</vt:lpstr>
      <vt:lpstr>СОШ с. Воскресенка</vt:lpstr>
      <vt:lpstr>СОШ с. Генеральское</vt:lpstr>
      <vt:lpstr>СОШ с. Заветное</vt:lpstr>
      <vt:lpstr>СОШ с. Красный Яр</vt:lpstr>
      <vt:lpstr>СОШ с. Квасниковка</vt:lpstr>
      <vt:lpstr>СОШ с. Кирово</vt:lpstr>
      <vt:lpstr>СОШ п.Коминтерн</vt:lpstr>
      <vt:lpstr>ООШ п. Лощинный</vt:lpstr>
      <vt:lpstr>СОШ с. Липовка</vt:lpstr>
      <vt:lpstr>ООШ с. Подстепное</vt:lpstr>
      <vt:lpstr>СОШ п. Пробуждение</vt:lpstr>
      <vt:lpstr>СОШ с. Терновка</vt:lpstr>
      <vt:lpstr>СОШ с. Узморье</vt:lpstr>
      <vt:lpstr>СОШ с. Широкополье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user1</cp:lastModifiedBy>
  <dcterms:created xsi:type="dcterms:W3CDTF">2021-10-24T12:18:48Z</dcterms:created>
  <dcterms:modified xsi:type="dcterms:W3CDTF">2021-11-03T11:12:54Z</dcterms:modified>
</cp:coreProperties>
</file>